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новопокровская первонач" sheetId="7" r:id="rId1"/>
    <sheet name="новопокровская 1 кв" sheetId="8" r:id="rId2"/>
    <sheet name="новопокровская2 кв " sheetId="9" r:id="rId3"/>
    <sheet name="новопокровская3 кв" sheetId="10" r:id="rId4"/>
  </sheets>
  <definedNames>
    <definedName name="_xlnm.Print_Area" localSheetId="1">'новопокровская 1 кв'!$A$1:$O$103</definedName>
    <definedName name="_xlnm.Print_Area" localSheetId="0">'новопокровская первонач'!$A$1:$O$103</definedName>
    <definedName name="_xlnm.Print_Area" localSheetId="2">'новопокровская2 кв '!$A$1:$O$103</definedName>
    <definedName name="_xlnm.Print_Area" localSheetId="3">'новопокровская3 кв'!$A$1:$O$103</definedName>
  </definedNames>
  <calcPr calcId="124519" iterate="1"/>
</workbook>
</file>

<file path=xl/calcChain.xml><?xml version="1.0" encoding="utf-8"?>
<calcChain xmlns="http://schemas.openxmlformats.org/spreadsheetml/2006/main">
  <c r="J20" i="10"/>
  <c r="J20" i="9"/>
  <c r="J20" i="8"/>
  <c r="J87" i="10"/>
  <c r="J24"/>
  <c r="J24" i="9"/>
  <c r="J87"/>
  <c r="J87" i="8"/>
  <c r="J24"/>
  <c r="I69" i="10"/>
  <c r="I16"/>
  <c r="J16"/>
  <c r="J66"/>
  <c r="J30"/>
  <c r="J58"/>
  <c r="J64"/>
  <c r="J68"/>
  <c r="J63"/>
  <c r="J35"/>
  <c r="J81"/>
  <c r="J47"/>
  <c r="J43"/>
  <c r="J69"/>
  <c r="I93"/>
  <c r="H93"/>
  <c r="I92"/>
  <c r="H92" s="1"/>
  <c r="I90"/>
  <c r="N90" s="1"/>
  <c r="I89"/>
  <c r="O89" s="1"/>
  <c r="J88"/>
  <c r="I88"/>
  <c r="N88" s="1"/>
  <c r="I87"/>
  <c r="N87" s="1"/>
  <c r="J86"/>
  <c r="I86"/>
  <c r="N86" s="1"/>
  <c r="I85"/>
  <c r="M82"/>
  <c r="L82"/>
  <c r="K82"/>
  <c r="K81"/>
  <c r="I81"/>
  <c r="K80"/>
  <c r="K78" s="1"/>
  <c r="M78"/>
  <c r="L78"/>
  <c r="O77"/>
  <c r="N77"/>
  <c r="I77"/>
  <c r="O76"/>
  <c r="N76"/>
  <c r="I76"/>
  <c r="J75"/>
  <c r="I75" s="1"/>
  <c r="O74"/>
  <c r="N74"/>
  <c r="M74" s="1"/>
  <c r="I71"/>
  <c r="H71" s="1"/>
  <c r="H70"/>
  <c r="O69"/>
  <c r="N69"/>
  <c r="I68"/>
  <c r="L66"/>
  <c r="O65"/>
  <c r="N65"/>
  <c r="I65"/>
  <c r="H65" s="1"/>
  <c r="I64"/>
  <c r="I63"/>
  <c r="M61"/>
  <c r="L61"/>
  <c r="K61"/>
  <c r="J61"/>
  <c r="I61" s="1"/>
  <c r="I60"/>
  <c r="H60"/>
  <c r="I59"/>
  <c r="H59" s="1"/>
  <c r="I58"/>
  <c r="O58" s="1"/>
  <c r="O56" s="1"/>
  <c r="M56"/>
  <c r="L56"/>
  <c r="K56"/>
  <c r="J56"/>
  <c r="I56" s="1"/>
  <c r="O55"/>
  <c r="N55"/>
  <c r="I55"/>
  <c r="O54"/>
  <c r="I54"/>
  <c r="N54" s="1"/>
  <c r="O53"/>
  <c r="I53"/>
  <c r="I52"/>
  <c r="O52" s="1"/>
  <c r="O50" s="1"/>
  <c r="M50"/>
  <c r="L50"/>
  <c r="K50"/>
  <c r="K16" s="1"/>
  <c r="K13" s="1"/>
  <c r="K11" s="1"/>
  <c r="J50"/>
  <c r="I50" s="1"/>
  <c r="J49"/>
  <c r="I49" s="1"/>
  <c r="I48"/>
  <c r="O48" s="1"/>
  <c r="O47"/>
  <c r="I47"/>
  <c r="N47" s="1"/>
  <c r="J46"/>
  <c r="I46" s="1"/>
  <c r="M44"/>
  <c r="L44"/>
  <c r="K44"/>
  <c r="J44"/>
  <c r="I44" s="1"/>
  <c r="I43"/>
  <c r="N42"/>
  <c r="I42"/>
  <c r="O42" s="1"/>
  <c r="J41"/>
  <c r="I41" s="1"/>
  <c r="M40"/>
  <c r="M37" s="1"/>
  <c r="L40"/>
  <c r="L37" s="1"/>
  <c r="L31" s="1"/>
  <c r="K40"/>
  <c r="I40" s="1"/>
  <c r="M39"/>
  <c r="I39" s="1"/>
  <c r="K37"/>
  <c r="J37"/>
  <c r="I37" s="1"/>
  <c r="N36"/>
  <c r="I36"/>
  <c r="O36" s="1"/>
  <c r="I35"/>
  <c r="M33"/>
  <c r="M31" s="1"/>
  <c r="L33"/>
  <c r="K33"/>
  <c r="K31"/>
  <c r="I27"/>
  <c r="O27" s="1"/>
  <c r="O26"/>
  <c r="N26"/>
  <c r="I26"/>
  <c r="H26"/>
  <c r="J25"/>
  <c r="I25"/>
  <c r="N25" s="1"/>
  <c r="I24"/>
  <c r="N24" s="1"/>
  <c r="O23"/>
  <c r="N23"/>
  <c r="I23"/>
  <c r="I22"/>
  <c r="J21"/>
  <c r="J84" s="1"/>
  <c r="I84" s="1"/>
  <c r="I21"/>
  <c r="N21" s="1"/>
  <c r="J83"/>
  <c r="I20"/>
  <c r="N20" s="1"/>
  <c r="N18" s="1"/>
  <c r="M18"/>
  <c r="L18"/>
  <c r="K18"/>
  <c r="J18"/>
  <c r="O17"/>
  <c r="N17"/>
  <c r="I17"/>
  <c r="M16"/>
  <c r="L16"/>
  <c r="M15"/>
  <c r="M13" s="1"/>
  <c r="M11" s="1"/>
  <c r="L15"/>
  <c r="K15"/>
  <c r="L13"/>
  <c r="L11" s="1"/>
  <c r="I15" i="9"/>
  <c r="J49"/>
  <c r="J63"/>
  <c r="J68"/>
  <c r="J35"/>
  <c r="J64"/>
  <c r="J46"/>
  <c r="J41"/>
  <c r="J37" s="1"/>
  <c r="I37" s="1"/>
  <c r="O37" s="1"/>
  <c r="J81"/>
  <c r="J43"/>
  <c r="J25"/>
  <c r="J88"/>
  <c r="J75"/>
  <c r="I93"/>
  <c r="H93"/>
  <c r="I92"/>
  <c r="H92" s="1"/>
  <c r="I90"/>
  <c r="N90" s="1"/>
  <c r="I89"/>
  <c r="O89" s="1"/>
  <c r="I88"/>
  <c r="N88" s="1"/>
  <c r="I87"/>
  <c r="O87" s="1"/>
  <c r="J86"/>
  <c r="I86" s="1"/>
  <c r="I85"/>
  <c r="M82"/>
  <c r="L82"/>
  <c r="K82"/>
  <c r="K81"/>
  <c r="I81"/>
  <c r="N81" s="1"/>
  <c r="K80"/>
  <c r="I80"/>
  <c r="N80" s="1"/>
  <c r="M78"/>
  <c r="L78"/>
  <c r="K78"/>
  <c r="J78"/>
  <c r="I78" s="1"/>
  <c r="I77"/>
  <c r="N77" s="1"/>
  <c r="I76"/>
  <c r="N76" s="1"/>
  <c r="I75"/>
  <c r="O75" s="1"/>
  <c r="O74"/>
  <c r="N74" s="1"/>
  <c r="I71"/>
  <c r="H71"/>
  <c r="H70"/>
  <c r="O69"/>
  <c r="N69"/>
  <c r="I68"/>
  <c r="O68" s="1"/>
  <c r="O66" s="1"/>
  <c r="L66"/>
  <c r="J66"/>
  <c r="I66" s="1"/>
  <c r="I65"/>
  <c r="O65" s="1"/>
  <c r="I64"/>
  <c r="J61"/>
  <c r="I61" s="1"/>
  <c r="I63"/>
  <c r="O63" s="1"/>
  <c r="M61"/>
  <c r="L61"/>
  <c r="K61"/>
  <c r="I60"/>
  <c r="H60" s="1"/>
  <c r="I59"/>
  <c r="H59"/>
  <c r="O58"/>
  <c r="N58"/>
  <c r="I58"/>
  <c r="O56"/>
  <c r="N56"/>
  <c r="M56"/>
  <c r="L56"/>
  <c r="K56"/>
  <c r="J56"/>
  <c r="I56" s="1"/>
  <c r="I55"/>
  <c r="N55" s="1"/>
  <c r="I54"/>
  <c r="O54" s="1"/>
  <c r="I53"/>
  <c r="O53" s="1"/>
  <c r="I52"/>
  <c r="N52" s="1"/>
  <c r="M50"/>
  <c r="M16" s="1"/>
  <c r="L50"/>
  <c r="L16" s="1"/>
  <c r="K50"/>
  <c r="J50"/>
  <c r="I49"/>
  <c r="I48"/>
  <c r="N48" s="1"/>
  <c r="I47"/>
  <c r="O47" s="1"/>
  <c r="I46"/>
  <c r="N46" s="1"/>
  <c r="M44"/>
  <c r="L44"/>
  <c r="K44"/>
  <c r="J44"/>
  <c r="I44" s="1"/>
  <c r="I43"/>
  <c r="N43" s="1"/>
  <c r="I42"/>
  <c r="N42" s="1"/>
  <c r="I41"/>
  <c r="N41" s="1"/>
  <c r="M40"/>
  <c r="L40"/>
  <c r="K40"/>
  <c r="I40" s="1"/>
  <c r="M39"/>
  <c r="I39"/>
  <c r="O39" s="1"/>
  <c r="M37"/>
  <c r="M31" s="1"/>
  <c r="L37"/>
  <c r="K37"/>
  <c r="O36"/>
  <c r="N36"/>
  <c r="I36"/>
  <c r="N35"/>
  <c r="I35"/>
  <c r="O35" s="1"/>
  <c r="M33"/>
  <c r="L33"/>
  <c r="K33"/>
  <c r="J33"/>
  <c r="I33" s="1"/>
  <c r="L31"/>
  <c r="K31"/>
  <c r="I27"/>
  <c r="N27" s="1"/>
  <c r="I26"/>
  <c r="I25"/>
  <c r="I24"/>
  <c r="N24" s="1"/>
  <c r="O23"/>
  <c r="N23"/>
  <c r="I23"/>
  <c r="I22"/>
  <c r="J21"/>
  <c r="J84" s="1"/>
  <c r="I84" s="1"/>
  <c r="I21"/>
  <c r="O21" s="1"/>
  <c r="J83"/>
  <c r="I20"/>
  <c r="O20" s="1"/>
  <c r="M18"/>
  <c r="L18"/>
  <c r="K18"/>
  <c r="N17"/>
  <c r="I17"/>
  <c r="O17" s="1"/>
  <c r="K16"/>
  <c r="J16"/>
  <c r="M15"/>
  <c r="L15"/>
  <c r="K15"/>
  <c r="J75" i="8"/>
  <c r="J63"/>
  <c r="J88"/>
  <c r="J21"/>
  <c r="J84" s="1"/>
  <c r="I84" s="1"/>
  <c r="J25"/>
  <c r="J18"/>
  <c r="J64"/>
  <c r="J81"/>
  <c r="I93"/>
  <c r="H93" s="1"/>
  <c r="I92"/>
  <c r="H92"/>
  <c r="O90"/>
  <c r="N90"/>
  <c r="I90"/>
  <c r="O89"/>
  <c r="I89"/>
  <c r="N89" s="1"/>
  <c r="N88"/>
  <c r="I88"/>
  <c r="O88" s="1"/>
  <c r="I87"/>
  <c r="N87" s="1"/>
  <c r="J86"/>
  <c r="I86"/>
  <c r="N86" s="1"/>
  <c r="I85"/>
  <c r="J83"/>
  <c r="M82"/>
  <c r="L82"/>
  <c r="K82"/>
  <c r="K81"/>
  <c r="I81"/>
  <c r="N81" s="1"/>
  <c r="K80"/>
  <c r="I80"/>
  <c r="N80" s="1"/>
  <c r="M78"/>
  <c r="L78"/>
  <c r="K78"/>
  <c r="J78"/>
  <c r="I78" s="1"/>
  <c r="O77"/>
  <c r="N77"/>
  <c r="I77"/>
  <c r="I76"/>
  <c r="O76" s="1"/>
  <c r="I75"/>
  <c r="N75" s="1"/>
  <c r="O74"/>
  <c r="N74" s="1"/>
  <c r="I71"/>
  <c r="H71" s="1"/>
  <c r="H70"/>
  <c r="O69"/>
  <c r="N69"/>
  <c r="O68"/>
  <c r="N68"/>
  <c r="I68"/>
  <c r="O66"/>
  <c r="N66"/>
  <c r="L66"/>
  <c r="J66"/>
  <c r="I66"/>
  <c r="O65"/>
  <c r="N65"/>
  <c r="I65"/>
  <c r="H65"/>
  <c r="I64"/>
  <c r="O64" s="1"/>
  <c r="O63"/>
  <c r="O61" s="1"/>
  <c r="N63"/>
  <c r="N61" s="1"/>
  <c r="I63"/>
  <c r="M61"/>
  <c r="L61"/>
  <c r="K61"/>
  <c r="J61"/>
  <c r="I61" s="1"/>
  <c r="I60"/>
  <c r="H60" s="1"/>
  <c r="I59"/>
  <c r="H59" s="1"/>
  <c r="I58"/>
  <c r="N58" s="1"/>
  <c r="N56" s="1"/>
  <c r="M56"/>
  <c r="L56"/>
  <c r="K56"/>
  <c r="J56"/>
  <c r="I56" s="1"/>
  <c r="I55"/>
  <c r="O55" s="1"/>
  <c r="I54"/>
  <c r="O54" s="1"/>
  <c r="I53"/>
  <c r="O53" s="1"/>
  <c r="O52"/>
  <c r="I52"/>
  <c r="N52" s="1"/>
  <c r="M50"/>
  <c r="L50"/>
  <c r="K50"/>
  <c r="K16" s="1"/>
  <c r="J50"/>
  <c r="J16" s="1"/>
  <c r="I49"/>
  <c r="O48"/>
  <c r="N48"/>
  <c r="I48"/>
  <c r="N47"/>
  <c r="I47"/>
  <c r="O47" s="1"/>
  <c r="I46"/>
  <c r="N46" s="1"/>
  <c r="M44"/>
  <c r="L44"/>
  <c r="K44"/>
  <c r="J44"/>
  <c r="I44" s="1"/>
  <c r="O43"/>
  <c r="N43"/>
  <c r="I43"/>
  <c r="I42"/>
  <c r="O42" s="1"/>
  <c r="I41"/>
  <c r="N41" s="1"/>
  <c r="M40"/>
  <c r="L40"/>
  <c r="L37" s="1"/>
  <c r="L31" s="1"/>
  <c r="K40"/>
  <c r="K37" s="1"/>
  <c r="M39"/>
  <c r="M15" s="1"/>
  <c r="M37"/>
  <c r="M31" s="1"/>
  <c r="J37"/>
  <c r="I36"/>
  <c r="N36" s="1"/>
  <c r="O35"/>
  <c r="N35"/>
  <c r="I35"/>
  <c r="M33"/>
  <c r="L33"/>
  <c r="K33"/>
  <c r="J33"/>
  <c r="I33" s="1"/>
  <c r="O27"/>
  <c r="N27"/>
  <c r="I27"/>
  <c r="N26"/>
  <c r="I26"/>
  <c r="O26" s="1"/>
  <c r="N25"/>
  <c r="I25"/>
  <c r="O25" s="1"/>
  <c r="I24"/>
  <c r="N24" s="1"/>
  <c r="O23"/>
  <c r="N23"/>
  <c r="I23"/>
  <c r="I22"/>
  <c r="I21"/>
  <c r="O21" s="1"/>
  <c r="O20"/>
  <c r="N20"/>
  <c r="I20"/>
  <c r="M18"/>
  <c r="L18"/>
  <c r="K18"/>
  <c r="I17"/>
  <c r="N17" s="1"/>
  <c r="M16"/>
  <c r="L15"/>
  <c r="K15"/>
  <c r="J15"/>
  <c r="O74" i="7"/>
  <c r="N74"/>
  <c r="M74" s="1"/>
  <c r="L74" s="1"/>
  <c r="K74" s="1"/>
  <c r="J74" s="1"/>
  <c r="I18"/>
  <c r="J18"/>
  <c r="J82"/>
  <c r="I88"/>
  <c r="O88" s="1"/>
  <c r="I87"/>
  <c r="N87" s="1"/>
  <c r="N25"/>
  <c r="I25"/>
  <c r="O25" s="1"/>
  <c r="N24"/>
  <c r="I24"/>
  <c r="O24" s="1"/>
  <c r="N58" i="10" l="1"/>
  <c r="N56" s="1"/>
  <c r="O84"/>
  <c r="N84"/>
  <c r="N39"/>
  <c r="O39"/>
  <c r="O41"/>
  <c r="N41"/>
  <c r="N44"/>
  <c r="O44"/>
  <c r="N46"/>
  <c r="O46"/>
  <c r="N63"/>
  <c r="N61" s="1"/>
  <c r="O63"/>
  <c r="O61" s="1"/>
  <c r="I83"/>
  <c r="J82"/>
  <c r="O35"/>
  <c r="N35"/>
  <c r="N43"/>
  <c r="O43"/>
  <c r="L74"/>
  <c r="M72"/>
  <c r="M30" s="1"/>
  <c r="M28" s="1"/>
  <c r="N81"/>
  <c r="O81"/>
  <c r="N37"/>
  <c r="O37"/>
  <c r="N68"/>
  <c r="N66" s="1"/>
  <c r="O68"/>
  <c r="O66" s="1"/>
  <c r="O40"/>
  <c r="N40"/>
  <c r="N64"/>
  <c r="O64"/>
  <c r="N75"/>
  <c r="N72" s="1"/>
  <c r="O75"/>
  <c r="O72" s="1"/>
  <c r="J15"/>
  <c r="J13" s="1"/>
  <c r="I18"/>
  <c r="N27"/>
  <c r="J33"/>
  <c r="N48"/>
  <c r="N52"/>
  <c r="N50" s="1"/>
  <c r="H54"/>
  <c r="J78"/>
  <c r="I78" s="1"/>
  <c r="N89"/>
  <c r="O90"/>
  <c r="O20"/>
  <c r="O18" s="1"/>
  <c r="O21"/>
  <c r="O24"/>
  <c r="O25"/>
  <c r="I80"/>
  <c r="O86"/>
  <c r="O87"/>
  <c r="O88"/>
  <c r="I66"/>
  <c r="O46" i="9"/>
  <c r="O41"/>
  <c r="J15"/>
  <c r="J13" s="1"/>
  <c r="I50"/>
  <c r="I16" s="1"/>
  <c r="L13"/>
  <c r="L11" s="1"/>
  <c r="O42"/>
  <c r="K13"/>
  <c r="K11" s="1"/>
  <c r="M13"/>
  <c r="M11" s="1"/>
  <c r="N76" i="8"/>
  <c r="O50"/>
  <c r="N55"/>
  <c r="N54"/>
  <c r="I37"/>
  <c r="N42"/>
  <c r="K13"/>
  <c r="K11" s="1"/>
  <c r="J31"/>
  <c r="I31" s="1"/>
  <c r="M13"/>
  <c r="M11" s="1"/>
  <c r="K31"/>
  <c r="N87" i="9"/>
  <c r="N15"/>
  <c r="J82"/>
  <c r="I83"/>
  <c r="N25"/>
  <c r="O25"/>
  <c r="N44"/>
  <c r="O44"/>
  <c r="O64"/>
  <c r="N64"/>
  <c r="N86"/>
  <c r="O86"/>
  <c r="N40"/>
  <c r="O40"/>
  <c r="N84"/>
  <c r="O84"/>
  <c r="N33"/>
  <c r="O33"/>
  <c r="M74"/>
  <c r="O18"/>
  <c r="N78"/>
  <c r="O61"/>
  <c r="J18"/>
  <c r="N20"/>
  <c r="N18" s="1"/>
  <c r="N21"/>
  <c r="O24"/>
  <c r="O26"/>
  <c r="H26" s="1"/>
  <c r="I18"/>
  <c r="N26"/>
  <c r="O27"/>
  <c r="J31"/>
  <c r="N37"/>
  <c r="N39"/>
  <c r="O43"/>
  <c r="N47"/>
  <c r="O48"/>
  <c r="N54"/>
  <c r="N50" s="1"/>
  <c r="O55"/>
  <c r="N63"/>
  <c r="N61" s="1"/>
  <c r="N65"/>
  <c r="N68"/>
  <c r="N66" s="1"/>
  <c r="N75"/>
  <c r="N72" s="1"/>
  <c r="O76"/>
  <c r="O72" s="1"/>
  <c r="N89"/>
  <c r="O90"/>
  <c r="O52"/>
  <c r="O50" s="1"/>
  <c r="O77"/>
  <c r="O81"/>
  <c r="H54"/>
  <c r="H65"/>
  <c r="O80"/>
  <c r="O78" s="1"/>
  <c r="O88"/>
  <c r="J13" i="8"/>
  <c r="J11" s="1"/>
  <c r="N21"/>
  <c r="N18"/>
  <c r="O18"/>
  <c r="I18"/>
  <c r="J82"/>
  <c r="N64"/>
  <c r="N78"/>
  <c r="N84"/>
  <c r="O84"/>
  <c r="N33"/>
  <c r="O33"/>
  <c r="O37"/>
  <c r="N37"/>
  <c r="N44"/>
  <c r="O44"/>
  <c r="M74"/>
  <c r="N72"/>
  <c r="L16"/>
  <c r="L13" s="1"/>
  <c r="L11" s="1"/>
  <c r="O80"/>
  <c r="O78" s="1"/>
  <c r="O81"/>
  <c r="I83"/>
  <c r="O86"/>
  <c r="H17"/>
  <c r="O17"/>
  <c r="H26"/>
  <c r="O36"/>
  <c r="I40"/>
  <c r="O41"/>
  <c r="O46"/>
  <c r="I50"/>
  <c r="O58"/>
  <c r="O56" s="1"/>
  <c r="O75"/>
  <c r="O72" s="1"/>
  <c r="O87"/>
  <c r="O24"/>
  <c r="I39"/>
  <c r="N88" i="7"/>
  <c r="O87"/>
  <c r="N16" i="10" l="1"/>
  <c r="O16"/>
  <c r="O80"/>
  <c r="O78" s="1"/>
  <c r="N80"/>
  <c r="N78" s="1"/>
  <c r="J31"/>
  <c r="I33"/>
  <c r="J11"/>
  <c r="I13"/>
  <c r="I11" s="1"/>
  <c r="L72"/>
  <c r="L30" s="1"/>
  <c r="L28" s="1"/>
  <c r="K74"/>
  <c r="O83"/>
  <c r="I82"/>
  <c r="N83"/>
  <c r="I15"/>
  <c r="J11" i="9"/>
  <c r="I13"/>
  <c r="I11" s="1"/>
  <c r="N50" i="8"/>
  <c r="H54"/>
  <c r="O15" i="9"/>
  <c r="N83"/>
  <c r="O83"/>
  <c r="I82"/>
  <c r="I31"/>
  <c r="N16"/>
  <c r="N13" s="1"/>
  <c r="N11" s="1"/>
  <c r="O16"/>
  <c r="L74"/>
  <c r="M72"/>
  <c r="M30" s="1"/>
  <c r="M28" s="1"/>
  <c r="N40" i="8"/>
  <c r="O40"/>
  <c r="O39"/>
  <c r="I15"/>
  <c r="N39"/>
  <c r="I13"/>
  <c r="I11" s="1"/>
  <c r="N83"/>
  <c r="O83"/>
  <c r="I82"/>
  <c r="O31"/>
  <c r="N31"/>
  <c r="M72"/>
  <c r="M30" s="1"/>
  <c r="M28" s="1"/>
  <c r="L74"/>
  <c r="I16"/>
  <c r="J15" i="7"/>
  <c r="O23"/>
  <c r="N23"/>
  <c r="J86"/>
  <c r="J84"/>
  <c r="I84"/>
  <c r="M82"/>
  <c r="L82"/>
  <c r="K82"/>
  <c r="M18"/>
  <c r="L18"/>
  <c r="K18"/>
  <c r="N15" i="10" l="1"/>
  <c r="N13" s="1"/>
  <c r="N11" s="1"/>
  <c r="O15"/>
  <c r="O13" s="1"/>
  <c r="O11" s="1"/>
  <c r="J74"/>
  <c r="K72"/>
  <c r="K30" s="1"/>
  <c r="K28" s="1"/>
  <c r="O33"/>
  <c r="N33"/>
  <c r="O82"/>
  <c r="N82"/>
  <c r="I31"/>
  <c r="O13" i="9"/>
  <c r="O11" s="1"/>
  <c r="N82"/>
  <c r="O82"/>
  <c r="K74"/>
  <c r="L72"/>
  <c r="L30" s="1"/>
  <c r="L28" s="1"/>
  <c r="N31"/>
  <c r="O31"/>
  <c r="N15" i="8"/>
  <c r="O15"/>
  <c r="L72"/>
  <c r="L30" s="1"/>
  <c r="L28" s="1"/>
  <c r="K74"/>
  <c r="N82"/>
  <c r="O82"/>
  <c r="N16"/>
  <c r="O16"/>
  <c r="L15" i="7"/>
  <c r="I42"/>
  <c r="I23"/>
  <c r="J83"/>
  <c r="N31" i="10" l="1"/>
  <c r="O31"/>
  <c r="I74"/>
  <c r="H74" s="1"/>
  <c r="J72"/>
  <c r="K72" i="9"/>
  <c r="K30" s="1"/>
  <c r="K28" s="1"/>
  <c r="J74"/>
  <c r="J74" i="8"/>
  <c r="K72"/>
  <c r="K30" s="1"/>
  <c r="K28" s="1"/>
  <c r="N13"/>
  <c r="N11" s="1"/>
  <c r="O13"/>
  <c r="O11" s="1"/>
  <c r="K40" i="7"/>
  <c r="L40"/>
  <c r="M40"/>
  <c r="K80"/>
  <c r="K15" s="1"/>
  <c r="M39"/>
  <c r="M15" s="1"/>
  <c r="K81"/>
  <c r="I93"/>
  <c r="H93"/>
  <c r="I92"/>
  <c r="H92"/>
  <c r="I90"/>
  <c r="O90" s="1"/>
  <c r="I89"/>
  <c r="O89" s="1"/>
  <c r="I86"/>
  <c r="O86" s="1"/>
  <c r="I85"/>
  <c r="I82" s="1"/>
  <c r="O84"/>
  <c r="I83"/>
  <c r="I81"/>
  <c r="O81" s="1"/>
  <c r="I80"/>
  <c r="M78"/>
  <c r="L78"/>
  <c r="K78"/>
  <c r="J78"/>
  <c r="I78" s="1"/>
  <c r="I77"/>
  <c r="O77" s="1"/>
  <c r="I76"/>
  <c r="O76" s="1"/>
  <c r="I75"/>
  <c r="O75" s="1"/>
  <c r="I74"/>
  <c r="H74" s="1"/>
  <c r="M72"/>
  <c r="L72"/>
  <c r="K72"/>
  <c r="J72"/>
  <c r="I71"/>
  <c r="H71"/>
  <c r="H70"/>
  <c r="O69"/>
  <c r="N69"/>
  <c r="I68"/>
  <c r="O68" s="1"/>
  <c r="O66" s="1"/>
  <c r="L66"/>
  <c r="J66"/>
  <c r="I65"/>
  <c r="O65" s="1"/>
  <c r="I64"/>
  <c r="O64" s="1"/>
  <c r="I63"/>
  <c r="O63" s="1"/>
  <c r="M61"/>
  <c r="L61"/>
  <c r="K61"/>
  <c r="J61"/>
  <c r="I61" s="1"/>
  <c r="I60"/>
  <c r="H60"/>
  <c r="I59"/>
  <c r="H59"/>
  <c r="I58"/>
  <c r="O58" s="1"/>
  <c r="O56" s="1"/>
  <c r="M56"/>
  <c r="L56"/>
  <c r="K56"/>
  <c r="J56"/>
  <c r="I56" s="1"/>
  <c r="I55"/>
  <c r="O55" s="1"/>
  <c r="I54"/>
  <c r="O54" s="1"/>
  <c r="I53"/>
  <c r="O53" s="1"/>
  <c r="I52"/>
  <c r="O52" s="1"/>
  <c r="M50"/>
  <c r="M16" s="1"/>
  <c r="L50"/>
  <c r="L16" s="1"/>
  <c r="K50"/>
  <c r="K16" s="1"/>
  <c r="J50"/>
  <c r="J16" s="1"/>
  <c r="I49"/>
  <c r="I48"/>
  <c r="O48" s="1"/>
  <c r="I47"/>
  <c r="O47" s="1"/>
  <c r="I46"/>
  <c r="O46" s="1"/>
  <c r="M44"/>
  <c r="L44"/>
  <c r="K44"/>
  <c r="J44"/>
  <c r="I44" s="1"/>
  <c r="O44" s="1"/>
  <c r="I43"/>
  <c r="O43" s="1"/>
  <c r="O42"/>
  <c r="N42"/>
  <c r="I41"/>
  <c r="O41" s="1"/>
  <c r="I40"/>
  <c r="O40" s="1"/>
  <c r="I39"/>
  <c r="O39" s="1"/>
  <c r="M37"/>
  <c r="M31" s="1"/>
  <c r="L37"/>
  <c r="K37"/>
  <c r="K31" s="1"/>
  <c r="J37"/>
  <c r="I36"/>
  <c r="I35"/>
  <c r="O35" s="1"/>
  <c r="M33"/>
  <c r="L33"/>
  <c r="K33"/>
  <c r="J33"/>
  <c r="I33"/>
  <c r="O33" s="1"/>
  <c r="L31"/>
  <c r="I27"/>
  <c r="O27" s="1"/>
  <c r="I26"/>
  <c r="O26" s="1"/>
  <c r="I22"/>
  <c r="I21"/>
  <c r="O21" s="1"/>
  <c r="I20"/>
  <c r="I17"/>
  <c r="O17" s="1"/>
  <c r="I72" i="10" l="1"/>
  <c r="I50" i="7"/>
  <c r="K13"/>
  <c r="K11" s="1"/>
  <c r="I74" i="9"/>
  <c r="H74" s="1"/>
  <c r="J72"/>
  <c r="I74" i="8"/>
  <c r="H74" s="1"/>
  <c r="J72"/>
  <c r="O80" i="7"/>
  <c r="O78" s="1"/>
  <c r="I15"/>
  <c r="O15" s="1"/>
  <c r="I72"/>
  <c r="L30"/>
  <c r="L28" s="1"/>
  <c r="I66"/>
  <c r="O61"/>
  <c r="K30"/>
  <c r="K28" s="1"/>
  <c r="M30"/>
  <c r="M28" s="1"/>
  <c r="I37"/>
  <c r="O37" s="1"/>
  <c r="J31"/>
  <c r="J30" s="1"/>
  <c r="O72"/>
  <c r="O50"/>
  <c r="N82"/>
  <c r="O20"/>
  <c r="O18" s="1"/>
  <c r="O36"/>
  <c r="I16"/>
  <c r="O16" s="1"/>
  <c r="O83"/>
  <c r="L13"/>
  <c r="L11" s="1"/>
  <c r="J13"/>
  <c r="M13"/>
  <c r="M11" s="1"/>
  <c r="N17"/>
  <c r="H17" s="1"/>
  <c r="N20"/>
  <c r="N21"/>
  <c r="N26"/>
  <c r="H26" s="1"/>
  <c r="N27"/>
  <c r="N33"/>
  <c r="N35"/>
  <c r="N36"/>
  <c r="N39"/>
  <c r="N40"/>
  <c r="N41"/>
  <c r="N43"/>
  <c r="N44"/>
  <c r="N46"/>
  <c r="N47"/>
  <c r="N48"/>
  <c r="N52"/>
  <c r="N54"/>
  <c r="H54" s="1"/>
  <c r="N55"/>
  <c r="N58"/>
  <c r="N56" s="1"/>
  <c r="N63"/>
  <c r="N64"/>
  <c r="N65"/>
  <c r="H65" s="1"/>
  <c r="N68"/>
  <c r="N66" s="1"/>
  <c r="N75"/>
  <c r="N76"/>
  <c r="N77"/>
  <c r="N80"/>
  <c r="N81"/>
  <c r="N83"/>
  <c r="N84"/>
  <c r="N86"/>
  <c r="N89"/>
  <c r="N90"/>
  <c r="I30" i="10" l="1"/>
  <c r="J28"/>
  <c r="I72" i="9"/>
  <c r="J30"/>
  <c r="I72" i="8"/>
  <c r="J30"/>
  <c r="I31" i="7"/>
  <c r="O31" s="1"/>
  <c r="N37"/>
  <c r="N15"/>
  <c r="I30"/>
  <c r="O30" s="1"/>
  <c r="J28"/>
  <c r="O82"/>
  <c r="N16"/>
  <c r="O13"/>
  <c r="O11" s="1"/>
  <c r="I13"/>
  <c r="I11" s="1"/>
  <c r="J11"/>
  <c r="N78"/>
  <c r="N72"/>
  <c r="N61"/>
  <c r="N50"/>
  <c r="N18"/>
  <c r="N30" i="10" l="1"/>
  <c r="I28"/>
  <c r="O30"/>
  <c r="N13" i="7"/>
  <c r="N31"/>
  <c r="J28" i="9"/>
  <c r="I30"/>
  <c r="J28" i="8"/>
  <c r="I30"/>
  <c r="I28" i="7"/>
  <c r="O28" s="1"/>
  <c r="N30"/>
  <c r="N11"/>
  <c r="N28" i="10" l="1"/>
  <c r="O28"/>
  <c r="I28" i="9"/>
  <c r="O30"/>
  <c r="N30"/>
  <c r="N30" i="8"/>
  <c r="I28"/>
  <c r="O30"/>
  <c r="N28" i="7"/>
  <c r="N28" i="9" l="1"/>
  <c r="O28"/>
  <c r="N28" i="8"/>
  <c r="O28"/>
</calcChain>
</file>

<file path=xl/sharedStrings.xml><?xml version="1.0" encoding="utf-8"?>
<sst xmlns="http://schemas.openxmlformats.org/spreadsheetml/2006/main" count="1980" uniqueCount="206">
  <si>
    <t>№ п/п</t>
  </si>
  <si>
    <t>Наименование показателя</t>
  </si>
  <si>
    <t>Тип средств</t>
  </si>
  <si>
    <t>Мероприятие</t>
  </si>
  <si>
    <t>Код целевых средств</t>
  </si>
  <si>
    <t>КОСГУ</t>
  </si>
  <si>
    <t>Код направления</t>
  </si>
  <si>
    <t>Всего</t>
  </si>
  <si>
    <t>В том числе</t>
  </si>
  <si>
    <t>очередной финансовый год</t>
  </si>
  <si>
    <t>1-й год</t>
  </si>
  <si>
    <t>2-й год</t>
  </si>
  <si>
    <t>планового</t>
  </si>
  <si>
    <t>плано-</t>
  </si>
  <si>
    <t>всего</t>
  </si>
  <si>
    <t>из них:</t>
  </si>
  <si>
    <t>периода</t>
  </si>
  <si>
    <t xml:space="preserve">вого пе-  </t>
  </si>
  <si>
    <t xml:space="preserve">I  </t>
  </si>
  <si>
    <t>II</t>
  </si>
  <si>
    <t>III</t>
  </si>
  <si>
    <t>IV</t>
  </si>
  <si>
    <t>риода</t>
  </si>
  <si>
    <t>кв.</t>
  </si>
  <si>
    <t>1.</t>
  </si>
  <si>
    <t xml:space="preserve">Остаток средств  </t>
  </si>
  <si>
    <t>00.00.00</t>
  </si>
  <si>
    <t>000 000 0</t>
  </si>
  <si>
    <t>000</t>
  </si>
  <si>
    <t>-</t>
  </si>
  <si>
    <t>2.</t>
  </si>
  <si>
    <t xml:space="preserve">Поступления, всего </t>
  </si>
  <si>
    <t xml:space="preserve">000 000 0 </t>
  </si>
  <si>
    <t xml:space="preserve">в том числе:          </t>
  </si>
  <si>
    <t>2.1</t>
  </si>
  <si>
    <t>субсидии на  выполнение   муниципального  задания</t>
  </si>
  <si>
    <t>04.00.00</t>
  </si>
  <si>
    <t>180</t>
  </si>
  <si>
    <t>2.1.1</t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</si>
  <si>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  <charset val="204"/>
      </rPr>
      <t>(госстандарт)</t>
    </r>
  </si>
  <si>
    <t>01.11.01</t>
  </si>
  <si>
    <t>2.1.2</t>
  </si>
  <si>
    <r>
      <t xml:space="preserve">субсидия на возмещение затрат по выполнению муниципального задания </t>
    </r>
    <r>
      <rPr>
        <sz val="10"/>
        <rFont val="Times New Roman"/>
        <family val="1"/>
        <charset val="204"/>
      </rPr>
      <t>(местный)</t>
    </r>
  </si>
  <si>
    <t>2.1.3</t>
  </si>
  <si>
    <t>2.2</t>
  </si>
  <si>
    <t xml:space="preserve">целевые субсидии </t>
  </si>
  <si>
    <t>05.00.00</t>
  </si>
  <si>
    <t>2.2.1</t>
  </si>
  <si>
    <t>2.2.2</t>
  </si>
  <si>
    <t>01.31.03</t>
  </si>
  <si>
    <t>2.2.3</t>
  </si>
  <si>
    <t>2.2.4</t>
  </si>
  <si>
    <t>2.2.5</t>
  </si>
  <si>
    <t>2.2.6</t>
  </si>
  <si>
    <t>2.3</t>
  </si>
  <si>
    <t xml:space="preserve">бюджетные   инвестиции     </t>
  </si>
  <si>
    <t>2.4</t>
  </si>
  <si>
    <t xml:space="preserve">поступления от  оказания учреждением   услуг, относящихся в  соответствии с уставом к основным видам деятельности, предо-ставление которых осу-ществляется на  плат-ной основе, а также поступления от иной    приносящей доход деятельности </t>
  </si>
  <si>
    <t>3</t>
  </si>
  <si>
    <t xml:space="preserve">Выплаты, всего     </t>
  </si>
  <si>
    <t>3.1</t>
  </si>
  <si>
    <t>За счет субсидии на  выполнение муници-пального задания</t>
  </si>
  <si>
    <t>3.1.1</t>
  </si>
  <si>
    <t>оплата труда</t>
  </si>
  <si>
    <t>210</t>
  </si>
  <si>
    <t>Заработная плата</t>
  </si>
  <si>
    <t>211</t>
  </si>
  <si>
    <t>заработная плата госстандарт</t>
  </si>
  <si>
    <t>заработная плата местный бюджет</t>
  </si>
  <si>
    <t>Прочие выплаты</t>
  </si>
  <si>
    <t>212</t>
  </si>
  <si>
    <t>в том числе</t>
  </si>
  <si>
    <t>расходы на книгоиздательскую продукцию госстандарт</t>
  </si>
  <si>
    <t>021</t>
  </si>
  <si>
    <t>расходы на книгоиздательскую продукцию местный</t>
  </si>
  <si>
    <t>01.10.01</t>
  </si>
  <si>
    <t>расходы на оплату суточных</t>
  </si>
  <si>
    <t>прочие расходы госстандарт</t>
  </si>
  <si>
    <t>023</t>
  </si>
  <si>
    <t>прочие расходы местный</t>
  </si>
  <si>
    <t>Начисление на заработную плату</t>
  </si>
  <si>
    <t>213</t>
  </si>
  <si>
    <t>начисление на заработную плату госстандарт</t>
  </si>
  <si>
    <t>начисление на заработную плату местный бюджет</t>
  </si>
  <si>
    <t>3.1.2</t>
  </si>
  <si>
    <t xml:space="preserve">услуги связи  </t>
  </si>
  <si>
    <t>221</t>
  </si>
  <si>
    <t>3.1.3</t>
  </si>
  <si>
    <t xml:space="preserve">транспортные  услуги </t>
  </si>
  <si>
    <t>222</t>
  </si>
  <si>
    <t>3.1.4</t>
  </si>
  <si>
    <t>коммунальные   услуги</t>
  </si>
  <si>
    <t>223</t>
  </si>
  <si>
    <t>расчеты за тепло</t>
  </si>
  <si>
    <t>031</t>
  </si>
  <si>
    <t>расчеты за воду и водоотведение</t>
  </si>
  <si>
    <t>032</t>
  </si>
  <si>
    <t>расчеты за потребленный газ</t>
  </si>
  <si>
    <t>033</t>
  </si>
  <si>
    <t>расчеты за электроэнергию</t>
  </si>
  <si>
    <t>034</t>
  </si>
  <si>
    <t>3.1.5</t>
  </si>
  <si>
    <t>услуги по содержанию помещения</t>
  </si>
  <si>
    <t>225</t>
  </si>
  <si>
    <t>оплата расходов на содержание имущества</t>
  </si>
  <si>
    <t>расходы по текущему ремонту зданий</t>
  </si>
  <si>
    <t>расходы по капитальному ремонту зданий</t>
  </si>
  <si>
    <t>3.1.6</t>
  </si>
  <si>
    <t xml:space="preserve">прочие услуги    </t>
  </si>
  <si>
    <t>226</t>
  </si>
  <si>
    <t>прочие услуги госстандарт</t>
  </si>
  <si>
    <t xml:space="preserve">прочие услуги местный бюджет  </t>
  </si>
  <si>
    <t>расходы на закупку работ, услуг в сфере информационно-коммуникационных технологий</t>
  </si>
  <si>
    <t>3.1.7</t>
  </si>
  <si>
    <t>приобретение основных средств</t>
  </si>
  <si>
    <t>310</t>
  </si>
  <si>
    <t xml:space="preserve">приобретение основных средств госстандарт </t>
  </si>
  <si>
    <t>приобретение основных средств местный</t>
  </si>
  <si>
    <t>расходы на закупку товаров в сфере информационно-коммуникационных технологий</t>
  </si>
  <si>
    <t>3.1.8</t>
  </si>
  <si>
    <t>приобретение нематериальных активов</t>
  </si>
  <si>
    <t>3.1.9</t>
  </si>
  <si>
    <t xml:space="preserve">приобретение материальных запасов  </t>
  </si>
  <si>
    <t>340</t>
  </si>
  <si>
    <t>расходы на ГСМ госстандарт</t>
  </si>
  <si>
    <t>расходы на прочие материальные запасы госстандарт</t>
  </si>
  <si>
    <t xml:space="preserve">расходы на прочие материальные запасы местный </t>
  </si>
  <si>
    <t>3.1.10</t>
  </si>
  <si>
    <t>прочие расходы</t>
  </si>
  <si>
    <t>290</t>
  </si>
  <si>
    <t>3.1.11</t>
  </si>
  <si>
    <t>3.1.12</t>
  </si>
  <si>
    <t>3.2</t>
  </si>
  <si>
    <t xml:space="preserve">За счет целевых субсидии </t>
  </si>
  <si>
    <t>3.2.1</t>
  </si>
  <si>
    <t>3.2.2</t>
  </si>
  <si>
    <t>3.2.3</t>
  </si>
  <si>
    <t>3.2.4</t>
  </si>
  <si>
    <t>3.2.5</t>
  </si>
  <si>
    <t>3.2.6</t>
  </si>
  <si>
    <t>3.3</t>
  </si>
  <si>
    <t>Бюджетные инвестиции</t>
  </si>
  <si>
    <t>3.4</t>
  </si>
  <si>
    <t>За счет поступлений от  оказания учреждением   услуг, относящихся в  соответствии с уставом к основным видам       
деятельности, предо-ставление которых осу-ществляется на  плат-ной основе, а также поступления от иной    
приносящей доход       
дея-тель</t>
  </si>
  <si>
    <t>4.</t>
  </si>
  <si>
    <t xml:space="preserve">Остаток средств    </t>
  </si>
  <si>
    <t>5.</t>
  </si>
  <si>
    <t xml:space="preserve">Справочно:         </t>
  </si>
  <si>
    <t xml:space="preserve">Объем публичных обяза-тельств перед физическими лицами, подлежащих испол-нению  в денежной форме, полномочия по  исполнению которых от  имени Феде-рального агентства по рыбо-ловству передаются учреж-дению, всего       </t>
  </si>
  <si>
    <r>
      <t>Главный бухгалтер учреждения</t>
    </r>
    <r>
      <rPr>
        <sz val="12"/>
        <rFont val="Times New Roman"/>
        <family val="1"/>
        <charset val="204"/>
      </rPr>
      <t xml:space="preserve">                              _________________   </t>
    </r>
  </si>
  <si>
    <t xml:space="preserve">                          М.П.</t>
  </si>
  <si>
    <t>05.34.01</t>
  </si>
  <si>
    <t>05.34.02</t>
  </si>
  <si>
    <t>05.25.01</t>
  </si>
  <si>
    <t>______________________</t>
  </si>
  <si>
    <t>К.Ш.Викторова</t>
  </si>
  <si>
    <t>Исполнитель                _________   _________________________</t>
  </si>
  <si>
    <t xml:space="preserve">          Синягина Н.А______</t>
  </si>
  <si>
    <t xml:space="preserve">                                        (подпись)   (расшифровка подписи)</t>
  </si>
  <si>
    <t>Директор МБОУ Новопокровская СОШ</t>
  </si>
  <si>
    <t>Н.Ф.Гречкина</t>
  </si>
  <si>
    <t>02.00.18</t>
  </si>
  <si>
    <t>04.11.02</t>
  </si>
  <si>
    <t>04.11.01</t>
  </si>
  <si>
    <t>04.12.02</t>
  </si>
  <si>
    <t>04.12.01</t>
  </si>
  <si>
    <t>04.13.02</t>
  </si>
  <si>
    <t>04.13.01</t>
  </si>
  <si>
    <t>04.21.02</t>
  </si>
  <si>
    <t>04.22.02</t>
  </si>
  <si>
    <t>04.23.01</t>
  </si>
  <si>
    <t>04.25.01</t>
  </si>
  <si>
    <t>04.26.02</t>
  </si>
  <si>
    <t>04.26.01</t>
  </si>
  <si>
    <t>04.31.02</t>
  </si>
  <si>
    <t>04.31.01</t>
  </si>
  <si>
    <t>04.34.02</t>
  </si>
  <si>
    <t>04.34.01</t>
  </si>
  <si>
    <t>04.29.02</t>
  </si>
  <si>
    <t>04.29.01</t>
  </si>
  <si>
    <t>02.34.01</t>
  </si>
  <si>
    <t>0</t>
  </si>
  <si>
    <t>023.77.1104</t>
  </si>
  <si>
    <t>023.80.1704</t>
  </si>
  <si>
    <t>023.77.1204</t>
  </si>
  <si>
    <t>01.10.02</t>
  </si>
  <si>
    <t>Проведение ремонтных работ в ОУ</t>
  </si>
  <si>
    <t>021.77.1154</t>
  </si>
  <si>
    <t>01.13.07</t>
  </si>
  <si>
    <t>субсидия на финансовое
обеспечение выполнения муниципального задания  учреждениям  оказывающим услуги по отдыху детей в каникулярный период</t>
  </si>
  <si>
    <t>5.Показатели по поступлениям и выплатам учреждения 1 квартал 2015г</t>
  </si>
  <si>
    <t>Проведение мероприятий по обеспечению противопожарной безопасности в общеобразовательных учреждениях</t>
  </si>
  <si>
    <t>024.77.1104</t>
  </si>
  <si>
    <t>Проведение противопожарных мероприятий  в зданиях муниципальных образовательных организаций</t>
  </si>
  <si>
    <t>01.31.07</t>
  </si>
  <si>
    <t>024.80.2804</t>
  </si>
  <si>
    <t xml:space="preserve">Организация питания учащихся в общеобразовательных учреждениях </t>
  </si>
  <si>
    <t>Организация питания учащихся в общеобразовательных организациях</t>
  </si>
  <si>
    <t xml:space="preserve">Организация питания учащихся в интернатах при сельских школах </t>
  </si>
  <si>
    <t>дата "12" января 2015 г.</t>
  </si>
  <si>
    <t>5.Показатели по поступлениям и выплатам учреждения 2 квартал 2015г</t>
  </si>
  <si>
    <t>5.Показатели по поступлениям и выплатам учреждения на 2015г</t>
  </si>
  <si>
    <t>дата "31" марта 2015 г.</t>
  </si>
  <si>
    <t>дата "30" июня 2015 г.</t>
  </si>
  <si>
    <t>5.Показатели по поступлениям и выплатам учреждения 3 квартал 2015г</t>
  </si>
  <si>
    <t>дата "30" сентября 2015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</si>
</sst>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3" fontId="1" fillId="0" borderId="1" xfId="0" applyNumberFormat="1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2" fontId="0" fillId="2" borderId="0" xfId="0" applyNumberFormat="1" applyFill="1"/>
    <xf numFmtId="0" fontId="0" fillId="2" borderId="0" xfId="0" applyFill="1"/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top" wrapText="1"/>
    </xf>
    <xf numFmtId="2" fontId="0" fillId="3" borderId="0" xfId="0" applyNumberFormat="1" applyFill="1"/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4" fontId="1" fillId="5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3" fontId="1" fillId="5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2" fillId="6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view="pageBreakPreview" topLeftCell="A89" zoomScale="60" workbookViewId="0">
      <selection activeCell="K38" sqref="K38"/>
    </sheetView>
  </sheetViews>
  <sheetFormatPr defaultColWidth="12.7109375" defaultRowHeight="15"/>
  <cols>
    <col min="1" max="1" width="7.28515625" style="34" customWidth="1"/>
    <col min="2" max="2" width="25.42578125" customWidth="1"/>
    <col min="3" max="4" width="9.7109375" style="34" customWidth="1"/>
    <col min="5" max="5" width="16.28515625" style="1" customWidth="1"/>
    <col min="6" max="6" width="9.140625" style="34" customWidth="1"/>
    <col min="7" max="7" width="10" style="34" customWidth="1"/>
    <col min="8" max="8" width="7.5703125" customWidth="1"/>
    <col min="9" max="9" width="16.85546875" customWidth="1"/>
    <col min="10" max="10" width="15.42578125" customWidth="1"/>
    <col min="11" max="11" width="16" customWidth="1"/>
    <col min="12" max="12" width="14.7109375" customWidth="1"/>
    <col min="13" max="14" width="15.28515625" customWidth="1"/>
    <col min="15" max="15" width="14.7109375" customWidth="1"/>
    <col min="257" max="257" width="7.28515625" customWidth="1"/>
    <col min="258" max="258" width="24.85546875" customWidth="1"/>
    <col min="264" max="264" width="14.140625" customWidth="1"/>
    <col min="513" max="513" width="7.28515625" customWidth="1"/>
    <col min="514" max="514" width="24.85546875" customWidth="1"/>
    <col min="520" max="520" width="14.140625" customWidth="1"/>
    <col min="769" max="769" width="7.28515625" customWidth="1"/>
    <col min="770" max="770" width="24.85546875" customWidth="1"/>
    <col min="776" max="776" width="14.140625" customWidth="1"/>
    <col min="1025" max="1025" width="7.28515625" customWidth="1"/>
    <col min="1026" max="1026" width="24.85546875" customWidth="1"/>
    <col min="1032" max="1032" width="14.140625" customWidth="1"/>
    <col min="1281" max="1281" width="7.28515625" customWidth="1"/>
    <col min="1282" max="1282" width="24.85546875" customWidth="1"/>
    <col min="1288" max="1288" width="14.140625" customWidth="1"/>
    <col min="1537" max="1537" width="7.28515625" customWidth="1"/>
    <col min="1538" max="1538" width="24.85546875" customWidth="1"/>
    <col min="1544" max="1544" width="14.140625" customWidth="1"/>
    <col min="1793" max="1793" width="7.28515625" customWidth="1"/>
    <col min="1794" max="1794" width="24.85546875" customWidth="1"/>
    <col min="1800" max="1800" width="14.140625" customWidth="1"/>
    <col min="2049" max="2049" width="7.28515625" customWidth="1"/>
    <col min="2050" max="2050" width="24.85546875" customWidth="1"/>
    <col min="2056" max="2056" width="14.140625" customWidth="1"/>
    <col min="2305" max="2305" width="7.28515625" customWidth="1"/>
    <col min="2306" max="2306" width="24.85546875" customWidth="1"/>
    <col min="2312" max="2312" width="14.140625" customWidth="1"/>
    <col min="2561" max="2561" width="7.28515625" customWidth="1"/>
    <col min="2562" max="2562" width="24.85546875" customWidth="1"/>
    <col min="2568" max="2568" width="14.140625" customWidth="1"/>
    <col min="2817" max="2817" width="7.28515625" customWidth="1"/>
    <col min="2818" max="2818" width="24.85546875" customWidth="1"/>
    <col min="2824" max="2824" width="14.140625" customWidth="1"/>
    <col min="3073" max="3073" width="7.28515625" customWidth="1"/>
    <col min="3074" max="3074" width="24.85546875" customWidth="1"/>
    <col min="3080" max="3080" width="14.140625" customWidth="1"/>
    <col min="3329" max="3329" width="7.28515625" customWidth="1"/>
    <col min="3330" max="3330" width="24.85546875" customWidth="1"/>
    <col min="3336" max="3336" width="14.140625" customWidth="1"/>
    <col min="3585" max="3585" width="7.28515625" customWidth="1"/>
    <col min="3586" max="3586" width="24.85546875" customWidth="1"/>
    <col min="3592" max="3592" width="14.140625" customWidth="1"/>
    <col min="3841" max="3841" width="7.28515625" customWidth="1"/>
    <col min="3842" max="3842" width="24.85546875" customWidth="1"/>
    <col min="3848" max="3848" width="14.140625" customWidth="1"/>
    <col min="4097" max="4097" width="7.28515625" customWidth="1"/>
    <col min="4098" max="4098" width="24.85546875" customWidth="1"/>
    <col min="4104" max="4104" width="14.140625" customWidth="1"/>
    <col min="4353" max="4353" width="7.28515625" customWidth="1"/>
    <col min="4354" max="4354" width="24.85546875" customWidth="1"/>
    <col min="4360" max="4360" width="14.140625" customWidth="1"/>
    <col min="4609" max="4609" width="7.28515625" customWidth="1"/>
    <col min="4610" max="4610" width="24.85546875" customWidth="1"/>
    <col min="4616" max="4616" width="14.140625" customWidth="1"/>
    <col min="4865" max="4865" width="7.28515625" customWidth="1"/>
    <col min="4866" max="4866" width="24.85546875" customWidth="1"/>
    <col min="4872" max="4872" width="14.140625" customWidth="1"/>
    <col min="5121" max="5121" width="7.28515625" customWidth="1"/>
    <col min="5122" max="5122" width="24.85546875" customWidth="1"/>
    <col min="5128" max="5128" width="14.140625" customWidth="1"/>
    <col min="5377" max="5377" width="7.28515625" customWidth="1"/>
    <col min="5378" max="5378" width="24.85546875" customWidth="1"/>
    <col min="5384" max="5384" width="14.140625" customWidth="1"/>
    <col min="5633" max="5633" width="7.28515625" customWidth="1"/>
    <col min="5634" max="5634" width="24.85546875" customWidth="1"/>
    <col min="5640" max="5640" width="14.140625" customWidth="1"/>
    <col min="5889" max="5889" width="7.28515625" customWidth="1"/>
    <col min="5890" max="5890" width="24.85546875" customWidth="1"/>
    <col min="5896" max="5896" width="14.140625" customWidth="1"/>
    <col min="6145" max="6145" width="7.28515625" customWidth="1"/>
    <col min="6146" max="6146" width="24.85546875" customWidth="1"/>
    <col min="6152" max="6152" width="14.140625" customWidth="1"/>
    <col min="6401" max="6401" width="7.28515625" customWidth="1"/>
    <col min="6402" max="6402" width="24.85546875" customWidth="1"/>
    <col min="6408" max="6408" width="14.140625" customWidth="1"/>
    <col min="6657" max="6657" width="7.28515625" customWidth="1"/>
    <col min="6658" max="6658" width="24.85546875" customWidth="1"/>
    <col min="6664" max="6664" width="14.140625" customWidth="1"/>
    <col min="6913" max="6913" width="7.28515625" customWidth="1"/>
    <col min="6914" max="6914" width="24.85546875" customWidth="1"/>
    <col min="6920" max="6920" width="14.140625" customWidth="1"/>
    <col min="7169" max="7169" width="7.28515625" customWidth="1"/>
    <col min="7170" max="7170" width="24.85546875" customWidth="1"/>
    <col min="7176" max="7176" width="14.140625" customWidth="1"/>
    <col min="7425" max="7425" width="7.28515625" customWidth="1"/>
    <col min="7426" max="7426" width="24.85546875" customWidth="1"/>
    <col min="7432" max="7432" width="14.140625" customWidth="1"/>
    <col min="7681" max="7681" width="7.28515625" customWidth="1"/>
    <col min="7682" max="7682" width="24.85546875" customWidth="1"/>
    <col min="7688" max="7688" width="14.140625" customWidth="1"/>
    <col min="7937" max="7937" width="7.28515625" customWidth="1"/>
    <col min="7938" max="7938" width="24.85546875" customWidth="1"/>
    <col min="7944" max="7944" width="14.140625" customWidth="1"/>
    <col min="8193" max="8193" width="7.28515625" customWidth="1"/>
    <col min="8194" max="8194" width="24.85546875" customWidth="1"/>
    <col min="8200" max="8200" width="14.140625" customWidth="1"/>
    <col min="8449" max="8449" width="7.28515625" customWidth="1"/>
    <col min="8450" max="8450" width="24.85546875" customWidth="1"/>
    <col min="8456" max="8456" width="14.140625" customWidth="1"/>
    <col min="8705" max="8705" width="7.28515625" customWidth="1"/>
    <col min="8706" max="8706" width="24.85546875" customWidth="1"/>
    <col min="8712" max="8712" width="14.140625" customWidth="1"/>
    <col min="8961" max="8961" width="7.28515625" customWidth="1"/>
    <col min="8962" max="8962" width="24.85546875" customWidth="1"/>
    <col min="8968" max="8968" width="14.140625" customWidth="1"/>
    <col min="9217" max="9217" width="7.28515625" customWidth="1"/>
    <col min="9218" max="9218" width="24.85546875" customWidth="1"/>
    <col min="9224" max="9224" width="14.140625" customWidth="1"/>
    <col min="9473" max="9473" width="7.28515625" customWidth="1"/>
    <col min="9474" max="9474" width="24.85546875" customWidth="1"/>
    <col min="9480" max="9480" width="14.140625" customWidth="1"/>
    <col min="9729" max="9729" width="7.28515625" customWidth="1"/>
    <col min="9730" max="9730" width="24.85546875" customWidth="1"/>
    <col min="9736" max="9736" width="14.140625" customWidth="1"/>
    <col min="9985" max="9985" width="7.28515625" customWidth="1"/>
    <col min="9986" max="9986" width="24.85546875" customWidth="1"/>
    <col min="9992" max="9992" width="14.140625" customWidth="1"/>
    <col min="10241" max="10241" width="7.28515625" customWidth="1"/>
    <col min="10242" max="10242" width="24.85546875" customWidth="1"/>
    <col min="10248" max="10248" width="14.140625" customWidth="1"/>
    <col min="10497" max="10497" width="7.28515625" customWidth="1"/>
    <col min="10498" max="10498" width="24.85546875" customWidth="1"/>
    <col min="10504" max="10504" width="14.140625" customWidth="1"/>
    <col min="10753" max="10753" width="7.28515625" customWidth="1"/>
    <col min="10754" max="10754" width="24.85546875" customWidth="1"/>
    <col min="10760" max="10760" width="14.140625" customWidth="1"/>
    <col min="11009" max="11009" width="7.28515625" customWidth="1"/>
    <col min="11010" max="11010" width="24.85546875" customWidth="1"/>
    <col min="11016" max="11016" width="14.140625" customWidth="1"/>
    <col min="11265" max="11265" width="7.28515625" customWidth="1"/>
    <col min="11266" max="11266" width="24.85546875" customWidth="1"/>
    <col min="11272" max="11272" width="14.140625" customWidth="1"/>
    <col min="11521" max="11521" width="7.28515625" customWidth="1"/>
    <col min="11522" max="11522" width="24.85546875" customWidth="1"/>
    <col min="11528" max="11528" width="14.140625" customWidth="1"/>
    <col min="11777" max="11777" width="7.28515625" customWidth="1"/>
    <col min="11778" max="11778" width="24.85546875" customWidth="1"/>
    <col min="11784" max="11784" width="14.140625" customWidth="1"/>
    <col min="12033" max="12033" width="7.28515625" customWidth="1"/>
    <col min="12034" max="12034" width="24.85546875" customWidth="1"/>
    <col min="12040" max="12040" width="14.140625" customWidth="1"/>
    <col min="12289" max="12289" width="7.28515625" customWidth="1"/>
    <col min="12290" max="12290" width="24.85546875" customWidth="1"/>
    <col min="12296" max="12296" width="14.140625" customWidth="1"/>
    <col min="12545" max="12545" width="7.28515625" customWidth="1"/>
    <col min="12546" max="12546" width="24.85546875" customWidth="1"/>
    <col min="12552" max="12552" width="14.140625" customWidth="1"/>
    <col min="12801" max="12801" width="7.28515625" customWidth="1"/>
    <col min="12802" max="12802" width="24.85546875" customWidth="1"/>
    <col min="12808" max="12808" width="14.140625" customWidth="1"/>
    <col min="13057" max="13057" width="7.28515625" customWidth="1"/>
    <col min="13058" max="13058" width="24.85546875" customWidth="1"/>
    <col min="13064" max="13064" width="14.140625" customWidth="1"/>
    <col min="13313" max="13313" width="7.28515625" customWidth="1"/>
    <col min="13314" max="13314" width="24.85546875" customWidth="1"/>
    <col min="13320" max="13320" width="14.140625" customWidth="1"/>
    <col min="13569" max="13569" width="7.28515625" customWidth="1"/>
    <col min="13570" max="13570" width="24.85546875" customWidth="1"/>
    <col min="13576" max="13576" width="14.140625" customWidth="1"/>
    <col min="13825" max="13825" width="7.28515625" customWidth="1"/>
    <col min="13826" max="13826" width="24.85546875" customWidth="1"/>
    <col min="13832" max="13832" width="14.140625" customWidth="1"/>
    <col min="14081" max="14081" width="7.28515625" customWidth="1"/>
    <col min="14082" max="14082" width="24.85546875" customWidth="1"/>
    <col min="14088" max="14088" width="14.140625" customWidth="1"/>
    <col min="14337" max="14337" width="7.28515625" customWidth="1"/>
    <col min="14338" max="14338" width="24.85546875" customWidth="1"/>
    <col min="14344" max="14344" width="14.140625" customWidth="1"/>
    <col min="14593" max="14593" width="7.28515625" customWidth="1"/>
    <col min="14594" max="14594" width="24.85546875" customWidth="1"/>
    <col min="14600" max="14600" width="14.140625" customWidth="1"/>
    <col min="14849" max="14849" width="7.28515625" customWidth="1"/>
    <col min="14850" max="14850" width="24.85546875" customWidth="1"/>
    <col min="14856" max="14856" width="14.140625" customWidth="1"/>
    <col min="15105" max="15105" width="7.28515625" customWidth="1"/>
    <col min="15106" max="15106" width="24.85546875" customWidth="1"/>
    <col min="15112" max="15112" width="14.140625" customWidth="1"/>
    <col min="15361" max="15361" width="7.28515625" customWidth="1"/>
    <col min="15362" max="15362" width="24.85546875" customWidth="1"/>
    <col min="15368" max="15368" width="14.140625" customWidth="1"/>
    <col min="15617" max="15617" width="7.28515625" customWidth="1"/>
    <col min="15618" max="15618" width="24.85546875" customWidth="1"/>
    <col min="15624" max="15624" width="14.140625" customWidth="1"/>
    <col min="15873" max="15873" width="7.28515625" customWidth="1"/>
    <col min="15874" max="15874" width="24.85546875" customWidth="1"/>
    <col min="15880" max="15880" width="14.140625" customWidth="1"/>
    <col min="16129" max="16129" width="7.28515625" customWidth="1"/>
    <col min="16130" max="16130" width="24.85546875" customWidth="1"/>
    <col min="16136" max="16136" width="14.140625" customWidth="1"/>
  </cols>
  <sheetData>
    <row r="2" spans="1:16" ht="15.75">
      <c r="B2" s="46" t="s">
        <v>201</v>
      </c>
      <c r="C2" s="46"/>
      <c r="D2" s="46"/>
      <c r="E2" s="46"/>
      <c r="F2" s="46"/>
      <c r="G2" s="46"/>
      <c r="H2" s="46"/>
      <c r="I2" s="46"/>
    </row>
    <row r="3" spans="1:16" ht="16.5" customHeight="1"/>
    <row r="4" spans="1:16">
      <c r="A4" s="42" t="s">
        <v>0</v>
      </c>
      <c r="B4" s="43" t="s">
        <v>1</v>
      </c>
      <c r="C4" s="42" t="s">
        <v>2</v>
      </c>
      <c r="D4" s="42" t="s">
        <v>3</v>
      </c>
      <c r="E4" s="43" t="s">
        <v>4</v>
      </c>
      <c r="F4" s="42" t="s">
        <v>5</v>
      </c>
      <c r="G4" s="42" t="s">
        <v>6</v>
      </c>
      <c r="H4" s="43" t="s">
        <v>7</v>
      </c>
      <c r="I4" s="43" t="s">
        <v>8</v>
      </c>
      <c r="J4" s="43"/>
      <c r="K4" s="43"/>
      <c r="L4" s="43"/>
      <c r="M4" s="43"/>
      <c r="N4" s="43"/>
      <c r="O4" s="43"/>
    </row>
    <row r="5" spans="1:16">
      <c r="A5" s="42"/>
      <c r="B5" s="43"/>
      <c r="C5" s="42"/>
      <c r="D5" s="42"/>
      <c r="E5" s="43"/>
      <c r="F5" s="42"/>
      <c r="G5" s="42"/>
      <c r="H5" s="43"/>
      <c r="I5" s="43" t="s">
        <v>9</v>
      </c>
      <c r="J5" s="43"/>
      <c r="K5" s="43"/>
      <c r="L5" s="43"/>
      <c r="M5" s="43"/>
      <c r="N5" s="33" t="s">
        <v>10</v>
      </c>
      <c r="O5" s="33" t="s">
        <v>11</v>
      </c>
    </row>
    <row r="6" spans="1:16">
      <c r="A6" s="42"/>
      <c r="B6" s="43"/>
      <c r="C6" s="42"/>
      <c r="D6" s="42"/>
      <c r="E6" s="43"/>
      <c r="F6" s="42"/>
      <c r="G6" s="42"/>
      <c r="H6" s="43"/>
      <c r="I6" s="43"/>
      <c r="J6" s="43"/>
      <c r="K6" s="43"/>
      <c r="L6" s="43"/>
      <c r="M6" s="43"/>
      <c r="N6" s="33" t="s">
        <v>12</v>
      </c>
      <c r="O6" s="33" t="s">
        <v>13</v>
      </c>
    </row>
    <row r="7" spans="1:16">
      <c r="A7" s="42"/>
      <c r="B7" s="43"/>
      <c r="C7" s="42"/>
      <c r="D7" s="42"/>
      <c r="E7" s="43"/>
      <c r="F7" s="42"/>
      <c r="G7" s="42"/>
      <c r="H7" s="43"/>
      <c r="I7" s="43" t="s">
        <v>14</v>
      </c>
      <c r="J7" s="43" t="s">
        <v>15</v>
      </c>
      <c r="K7" s="43"/>
      <c r="L7" s="43"/>
      <c r="M7" s="43"/>
      <c r="N7" s="33" t="s">
        <v>16</v>
      </c>
      <c r="O7" s="33" t="s">
        <v>17</v>
      </c>
    </row>
    <row r="8" spans="1:16">
      <c r="A8" s="42"/>
      <c r="B8" s="43"/>
      <c r="C8" s="42"/>
      <c r="D8" s="42"/>
      <c r="E8" s="43"/>
      <c r="F8" s="42"/>
      <c r="G8" s="42"/>
      <c r="H8" s="43"/>
      <c r="I8" s="43"/>
      <c r="J8" s="33" t="s">
        <v>18</v>
      </c>
      <c r="K8" s="33" t="s">
        <v>19</v>
      </c>
      <c r="L8" s="33" t="s">
        <v>20</v>
      </c>
      <c r="M8" s="33" t="s">
        <v>21</v>
      </c>
      <c r="N8" s="2"/>
      <c r="O8" s="33" t="s">
        <v>22</v>
      </c>
    </row>
    <row r="9" spans="1:16">
      <c r="A9" s="42"/>
      <c r="B9" s="43"/>
      <c r="C9" s="42"/>
      <c r="D9" s="42"/>
      <c r="E9" s="43"/>
      <c r="F9" s="42"/>
      <c r="G9" s="42"/>
      <c r="H9" s="43"/>
      <c r="I9" s="43"/>
      <c r="J9" s="33" t="s">
        <v>23</v>
      </c>
      <c r="K9" s="33" t="s">
        <v>23</v>
      </c>
      <c r="L9" s="33" t="s">
        <v>23</v>
      </c>
      <c r="M9" s="33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31</v>
      </c>
      <c r="C11" s="3" t="s">
        <v>26</v>
      </c>
      <c r="D11" s="3"/>
      <c r="E11" s="5" t="s">
        <v>32</v>
      </c>
      <c r="F11" s="3" t="s">
        <v>28</v>
      </c>
      <c r="G11" s="3" t="s">
        <v>28</v>
      </c>
      <c r="H11" s="8">
        <v>0</v>
      </c>
      <c r="I11" s="6">
        <f t="shared" ref="I11:O11" si="0">I13+I18+I26+I27</f>
        <v>9425630</v>
      </c>
      <c r="J11" s="6">
        <f t="shared" si="0"/>
        <v>9425630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7266608.7166567994</v>
      </c>
      <c r="O11" s="8">
        <f t="shared" si="0"/>
        <v>6728402.5256420001</v>
      </c>
      <c r="P11" s="7"/>
    </row>
    <row r="12" spans="1:16" ht="15.75">
      <c r="A12" s="3"/>
      <c r="B12" s="4" t="s">
        <v>33</v>
      </c>
      <c r="C12" s="3"/>
      <c r="D12" s="3"/>
      <c r="E12" s="5"/>
      <c r="F12" s="3"/>
      <c r="G12" s="3"/>
      <c r="H12" s="8"/>
      <c r="I12" s="6"/>
      <c r="J12" s="6"/>
      <c r="K12" s="8"/>
      <c r="L12" s="8"/>
      <c r="M12" s="8"/>
      <c r="N12" s="8"/>
      <c r="O12" s="8"/>
      <c r="P12" s="7"/>
    </row>
    <row r="13" spans="1:16" ht="63">
      <c r="A13" s="3" t="s">
        <v>34</v>
      </c>
      <c r="B13" s="4" t="s">
        <v>35</v>
      </c>
      <c r="C13" s="3" t="s">
        <v>36</v>
      </c>
      <c r="D13" s="3"/>
      <c r="E13" s="5" t="s">
        <v>32</v>
      </c>
      <c r="F13" s="3" t="s">
        <v>37</v>
      </c>
      <c r="G13" s="3" t="s">
        <v>28</v>
      </c>
      <c r="H13" s="8">
        <v>0</v>
      </c>
      <c r="I13" s="6">
        <f>J13+K13+L13+M13</f>
        <v>7658347</v>
      </c>
      <c r="J13" s="6">
        <f t="shared" ref="J13:O13" si="1">J15+J17+J16</f>
        <v>7658347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6968073.4699379997</v>
      </c>
      <c r="O13" s="8">
        <f t="shared" si="1"/>
        <v>6451978.4898450002</v>
      </c>
      <c r="P13" s="7"/>
    </row>
    <row r="14" spans="1:16" ht="15.75">
      <c r="A14" s="3"/>
      <c r="B14" s="4" t="s">
        <v>33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s="15" customFormat="1" ht="87.75" customHeight="1">
      <c r="A15" s="9" t="s">
        <v>38</v>
      </c>
      <c r="B15" s="10" t="s">
        <v>39</v>
      </c>
      <c r="C15" s="9" t="s">
        <v>36</v>
      </c>
      <c r="D15" s="9" t="s">
        <v>40</v>
      </c>
      <c r="E15" s="11" t="s">
        <v>32</v>
      </c>
      <c r="F15" s="9" t="s">
        <v>37</v>
      </c>
      <c r="G15" s="9" t="s">
        <v>28</v>
      </c>
      <c r="H15" s="12">
        <v>0</v>
      </c>
      <c r="I15" s="13">
        <f>I35+I39+I41+I46+I48+I49+I63+I76+I80+I68+I42+I75</f>
        <v>4799265</v>
      </c>
      <c r="J15" s="13">
        <f>J35+J39+J41+J46+J48+J49+J63+J76+J80+J68+J42+J75</f>
        <v>4799265</v>
      </c>
      <c r="K15" s="13">
        <f t="shared" ref="K15:M15" si="2">K35+K39+K41+K46+K48+K49+K63+K76+K80+K68+K42</f>
        <v>0</v>
      </c>
      <c r="L15" s="13">
        <f t="shared" si="2"/>
        <v>0</v>
      </c>
      <c r="M15" s="13">
        <f t="shared" si="2"/>
        <v>0</v>
      </c>
      <c r="N15" s="12">
        <f>I15*0.8938636</f>
        <v>4289888.2902539996</v>
      </c>
      <c r="O15" s="12">
        <f>I15*0.827659</f>
        <v>3972154.8706350001</v>
      </c>
      <c r="P15" s="14"/>
    </row>
    <row r="16" spans="1:16" s="22" customFormat="1" ht="87" customHeight="1">
      <c r="A16" s="16" t="s">
        <v>41</v>
      </c>
      <c r="B16" s="17" t="s">
        <v>42</v>
      </c>
      <c r="C16" s="16" t="s">
        <v>36</v>
      </c>
      <c r="D16" s="16" t="s">
        <v>75</v>
      </c>
      <c r="E16" s="18" t="s">
        <v>32</v>
      </c>
      <c r="F16" s="16" t="s">
        <v>37</v>
      </c>
      <c r="G16" s="16" t="s">
        <v>28</v>
      </c>
      <c r="H16" s="19">
        <v>0</v>
      </c>
      <c r="I16" s="20">
        <f>I36+I43+I47+I50+I58+I64+I77+I40+I81+I75</f>
        <v>2996190</v>
      </c>
      <c r="J16" s="20">
        <f>J36+J43+J47+J50+J58+J64+J77+J40+J81</f>
        <v>2859082</v>
      </c>
      <c r="K16" s="20">
        <f>K36+K43+K47+K50+K58+K64+K77+K40+K81+K75</f>
        <v>0</v>
      </c>
      <c r="L16" s="20">
        <f>L36+L43+L47+L50+L58+L64+L77+L40+L81+L75</f>
        <v>0</v>
      </c>
      <c r="M16" s="20">
        <f>M36+M43+M47+M50+M58+M64+M77+M40+M81+M75</f>
        <v>0</v>
      </c>
      <c r="N16" s="19">
        <f>I16*0.8938636</f>
        <v>2678185.1796840001</v>
      </c>
      <c r="O16" s="19">
        <f>I16*0.827659</f>
        <v>2479823.6192100001</v>
      </c>
      <c r="P16" s="21"/>
    </row>
    <row r="17" spans="1:16" ht="126">
      <c r="A17" s="3" t="s">
        <v>43</v>
      </c>
      <c r="B17" s="4" t="s">
        <v>189</v>
      </c>
      <c r="C17" s="3" t="s">
        <v>36</v>
      </c>
      <c r="D17" s="3" t="s">
        <v>188</v>
      </c>
      <c r="E17" s="5" t="s">
        <v>32</v>
      </c>
      <c r="F17" s="3" t="s">
        <v>37</v>
      </c>
      <c r="G17" s="3" t="s">
        <v>28</v>
      </c>
      <c r="H17" s="8">
        <f>I17+N17+O17</f>
        <v>0</v>
      </c>
      <c r="I17" s="6">
        <f>J17+K17+L17+M17</f>
        <v>0</v>
      </c>
      <c r="J17" s="6">
        <v>0</v>
      </c>
      <c r="K17" s="6">
        <v>0</v>
      </c>
      <c r="L17" s="6">
        <v>0</v>
      </c>
      <c r="M17" s="6">
        <v>0</v>
      </c>
      <c r="N17" s="8">
        <f>I17*0.8938636</f>
        <v>0</v>
      </c>
      <c r="O17" s="8">
        <f>I17*0.827659</f>
        <v>0</v>
      </c>
      <c r="P17" s="7"/>
    </row>
    <row r="18" spans="1:16" ht="15.75">
      <c r="A18" s="3" t="s">
        <v>44</v>
      </c>
      <c r="B18" s="4" t="s">
        <v>45</v>
      </c>
      <c r="C18" s="3" t="s">
        <v>46</v>
      </c>
      <c r="D18" s="3"/>
      <c r="E18" s="5" t="s">
        <v>32</v>
      </c>
      <c r="F18" s="3" t="s">
        <v>37</v>
      </c>
      <c r="G18" s="3" t="s">
        <v>28</v>
      </c>
      <c r="H18" s="6">
        <v>0</v>
      </c>
      <c r="I18" s="6">
        <f>I20+I21+I22+I23+I24+I25</f>
        <v>1663283</v>
      </c>
      <c r="J18" s="6">
        <f>J20+J21+J22+J23+J24+J25</f>
        <v>1663283</v>
      </c>
      <c r="K18" s="6">
        <f t="shared" ref="K18:M18" si="3">K20+K21+K22+K23</f>
        <v>0</v>
      </c>
      <c r="L18" s="6">
        <f t="shared" si="3"/>
        <v>0</v>
      </c>
      <c r="M18" s="6">
        <f t="shared" si="3"/>
        <v>0</v>
      </c>
      <c r="N18" s="6">
        <f>SUM(N20:N23)</f>
        <v>205573.43231879998</v>
      </c>
      <c r="O18" s="6">
        <f>SUM(O20:O23)</f>
        <v>190347.499797</v>
      </c>
      <c r="P18" s="7"/>
    </row>
    <row r="19" spans="1:16" ht="15.75">
      <c r="A19" s="3"/>
      <c r="B19" s="4" t="s">
        <v>33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s="15" customFormat="1" ht="68.25" customHeight="1">
      <c r="A20" s="9" t="s">
        <v>47</v>
      </c>
      <c r="B20" s="35" t="s">
        <v>196</v>
      </c>
      <c r="C20" s="9" t="s">
        <v>46</v>
      </c>
      <c r="D20" s="9" t="s">
        <v>75</v>
      </c>
      <c r="E20" s="11" t="s">
        <v>182</v>
      </c>
      <c r="F20" s="9" t="s">
        <v>37</v>
      </c>
      <c r="G20" s="9" t="s">
        <v>28</v>
      </c>
      <c r="H20" s="13">
        <v>0</v>
      </c>
      <c r="I20" s="13">
        <f>J20+K20+L20+M20</f>
        <v>64600</v>
      </c>
      <c r="J20" s="13">
        <v>64600</v>
      </c>
      <c r="K20" s="13">
        <v>0</v>
      </c>
      <c r="L20" s="13">
        <v>0</v>
      </c>
      <c r="M20" s="13">
        <v>0</v>
      </c>
      <c r="N20" s="12">
        <f>I20*0.8938636</f>
        <v>57743.588559999997</v>
      </c>
      <c r="O20" s="12">
        <f>I20*0.827659</f>
        <v>53466.771400000005</v>
      </c>
      <c r="P20" s="14"/>
    </row>
    <row r="21" spans="1:16" s="15" customFormat="1" ht="75" customHeight="1">
      <c r="A21" s="9" t="s">
        <v>48</v>
      </c>
      <c r="B21" s="10" t="s">
        <v>197</v>
      </c>
      <c r="C21" s="9" t="s">
        <v>46</v>
      </c>
      <c r="D21" s="9" t="s">
        <v>49</v>
      </c>
      <c r="E21" s="11" t="s">
        <v>183</v>
      </c>
      <c r="F21" s="9" t="s">
        <v>37</v>
      </c>
      <c r="G21" s="9" t="s">
        <v>28</v>
      </c>
      <c r="H21" s="13">
        <v>0</v>
      </c>
      <c r="I21" s="13">
        <f t="shared" ref="I21:I27" si="4">J21+K21+L21+M21</f>
        <v>103360</v>
      </c>
      <c r="J21" s="13">
        <v>103360</v>
      </c>
      <c r="K21" s="13">
        <v>0</v>
      </c>
      <c r="L21" s="13">
        <v>0</v>
      </c>
      <c r="M21" s="13">
        <v>0</v>
      </c>
      <c r="N21" s="12">
        <f>I21*0.8938636</f>
        <v>92389.741695999997</v>
      </c>
      <c r="O21" s="12">
        <f>I21*0.827659</f>
        <v>85546.834239999996</v>
      </c>
      <c r="P21" s="14"/>
    </row>
    <row r="22" spans="1:16" ht="42" customHeight="1">
      <c r="A22" s="3" t="s">
        <v>50</v>
      </c>
      <c r="B22" s="4" t="s">
        <v>186</v>
      </c>
      <c r="C22" s="3" t="s">
        <v>46</v>
      </c>
      <c r="D22" s="25" t="s">
        <v>75</v>
      </c>
      <c r="E22" s="5" t="s">
        <v>187</v>
      </c>
      <c r="F22" s="3" t="s">
        <v>37</v>
      </c>
      <c r="G22" s="3" t="s">
        <v>28</v>
      </c>
      <c r="H22" s="6">
        <v>0</v>
      </c>
      <c r="I22" s="6">
        <f t="shared" si="4"/>
        <v>0</v>
      </c>
      <c r="J22" s="6"/>
      <c r="K22" s="6">
        <v>0</v>
      </c>
      <c r="L22" s="6"/>
      <c r="M22" s="6">
        <v>0</v>
      </c>
      <c r="N22" s="6">
        <v>0</v>
      </c>
      <c r="O22" s="6">
        <v>0</v>
      </c>
      <c r="P22" s="7"/>
    </row>
    <row r="23" spans="1:16" s="15" customFormat="1" ht="48.75" customHeight="1">
      <c r="A23" s="9" t="s">
        <v>51</v>
      </c>
      <c r="B23" s="36" t="s">
        <v>198</v>
      </c>
      <c r="C23" s="24" t="s">
        <v>46</v>
      </c>
      <c r="D23" s="24" t="s">
        <v>75</v>
      </c>
      <c r="E23" s="37" t="s">
        <v>184</v>
      </c>
      <c r="F23" s="24" t="s">
        <v>37</v>
      </c>
      <c r="G23" s="9" t="s">
        <v>28</v>
      </c>
      <c r="H23" s="13">
        <v>0</v>
      </c>
      <c r="I23" s="13">
        <f>J23+K23+L23+M23</f>
        <v>62023</v>
      </c>
      <c r="J23" s="13">
        <v>62023</v>
      </c>
      <c r="K23" s="13">
        <v>0</v>
      </c>
      <c r="L23" s="13">
        <v>0</v>
      </c>
      <c r="M23" s="13">
        <v>0</v>
      </c>
      <c r="N23" s="12">
        <f>I23*0.8938636</f>
        <v>55440.102062799997</v>
      </c>
      <c r="O23" s="12">
        <f>I23*0.827659</f>
        <v>51333.894157000002</v>
      </c>
      <c r="P23" s="14"/>
    </row>
    <row r="24" spans="1:16" s="15" customFormat="1" ht="118.5" customHeight="1">
      <c r="A24" s="9" t="s">
        <v>52</v>
      </c>
      <c r="B24" s="10" t="s">
        <v>191</v>
      </c>
      <c r="C24" s="9" t="s">
        <v>46</v>
      </c>
      <c r="D24" s="9" t="s">
        <v>75</v>
      </c>
      <c r="E24" s="11" t="s">
        <v>192</v>
      </c>
      <c r="F24" s="9" t="s">
        <v>37</v>
      </c>
      <c r="G24" s="9" t="s">
        <v>28</v>
      </c>
      <c r="H24" s="13">
        <v>0</v>
      </c>
      <c r="I24" s="13">
        <f t="shared" ref="I24:I25" si="5">J24+K24+L24+M24</f>
        <v>477700</v>
      </c>
      <c r="J24" s="13">
        <v>477700</v>
      </c>
      <c r="K24" s="13">
        <v>0</v>
      </c>
      <c r="L24" s="13">
        <v>0</v>
      </c>
      <c r="M24" s="13">
        <v>0</v>
      </c>
      <c r="N24" s="12">
        <f>I24*0.8938636</f>
        <v>426998.64172000001</v>
      </c>
      <c r="O24" s="12">
        <f>I24*0.827659</f>
        <v>395372.70430000004</v>
      </c>
      <c r="P24" s="14"/>
    </row>
    <row r="25" spans="1:16" s="15" customFormat="1" ht="101.25" customHeight="1">
      <c r="A25" s="9" t="s">
        <v>53</v>
      </c>
      <c r="B25" s="10" t="s">
        <v>193</v>
      </c>
      <c r="C25" s="9" t="s">
        <v>46</v>
      </c>
      <c r="D25" s="9" t="s">
        <v>194</v>
      </c>
      <c r="E25" s="11" t="s">
        <v>195</v>
      </c>
      <c r="F25" s="9" t="s">
        <v>37</v>
      </c>
      <c r="G25" s="9" t="s">
        <v>28</v>
      </c>
      <c r="H25" s="13">
        <v>0</v>
      </c>
      <c r="I25" s="13">
        <f t="shared" si="5"/>
        <v>955600</v>
      </c>
      <c r="J25" s="13">
        <v>955600</v>
      </c>
      <c r="K25" s="13">
        <v>0</v>
      </c>
      <c r="L25" s="13">
        <v>0</v>
      </c>
      <c r="M25" s="13">
        <v>0</v>
      </c>
      <c r="N25" s="12">
        <f>I25*0.8938636</f>
        <v>854176.05616000004</v>
      </c>
      <c r="O25" s="12">
        <f>I25*0.827659</f>
        <v>790910.94040000008</v>
      </c>
      <c r="P25" s="14"/>
    </row>
    <row r="26" spans="1:16" ht="31.5">
      <c r="A26" s="3" t="s">
        <v>54</v>
      </c>
      <c r="B26" s="4" t="s">
        <v>55</v>
      </c>
      <c r="C26" s="3" t="s">
        <v>28</v>
      </c>
      <c r="D26" s="3" t="s">
        <v>28</v>
      </c>
      <c r="E26" s="3" t="s">
        <v>28</v>
      </c>
      <c r="F26" s="3" t="s">
        <v>28</v>
      </c>
      <c r="G26" s="3" t="s">
        <v>28</v>
      </c>
      <c r="H26" s="6">
        <f t="shared" ref="H26" si="6">I26+N26+O26</f>
        <v>0</v>
      </c>
      <c r="I26" s="6">
        <f t="shared" si="4"/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ref="N26:N27" si="7">I26*0.8938636</f>
        <v>0</v>
      </c>
      <c r="O26" s="6">
        <f t="shared" ref="O26:O27" si="8">I26*0.827659</f>
        <v>0</v>
      </c>
      <c r="P26" s="7"/>
    </row>
    <row r="27" spans="1:16" ht="202.5" customHeight="1">
      <c r="A27" s="3" t="s">
        <v>56</v>
      </c>
      <c r="B27" s="4" t="s">
        <v>57</v>
      </c>
      <c r="C27" s="3" t="s">
        <v>161</v>
      </c>
      <c r="D27" s="3" t="s">
        <v>185</v>
      </c>
      <c r="E27" s="5" t="s">
        <v>27</v>
      </c>
      <c r="F27" s="3" t="s">
        <v>37</v>
      </c>
      <c r="G27" s="3" t="s">
        <v>28</v>
      </c>
      <c r="H27" s="6">
        <v>0</v>
      </c>
      <c r="I27" s="6">
        <f t="shared" si="4"/>
        <v>104000</v>
      </c>
      <c r="J27" s="6">
        <v>104000</v>
      </c>
      <c r="K27" s="6">
        <v>0</v>
      </c>
      <c r="L27" s="6">
        <v>0</v>
      </c>
      <c r="M27" s="6">
        <v>0</v>
      </c>
      <c r="N27" s="6">
        <f t="shared" si="7"/>
        <v>92961.814400000003</v>
      </c>
      <c r="O27" s="6">
        <f t="shared" si="8"/>
        <v>86076.536000000007</v>
      </c>
      <c r="P27" s="7"/>
    </row>
    <row r="28" spans="1:16" ht="15.75">
      <c r="A28" s="3" t="s">
        <v>58</v>
      </c>
      <c r="B28" s="4" t="s">
        <v>59</v>
      </c>
      <c r="C28" s="3" t="s">
        <v>28</v>
      </c>
      <c r="D28" s="3" t="s">
        <v>28</v>
      </c>
      <c r="E28" s="3" t="s">
        <v>28</v>
      </c>
      <c r="F28" s="3" t="s">
        <v>28</v>
      </c>
      <c r="G28" s="3" t="s">
        <v>28</v>
      </c>
      <c r="H28" s="6">
        <v>0</v>
      </c>
      <c r="I28" s="6">
        <f>(I30+I89+I82+I90)</f>
        <v>9425630</v>
      </c>
      <c r="J28" s="6">
        <f>J30+J89+J82+J90</f>
        <v>9425630</v>
      </c>
      <c r="K28" s="6">
        <f>(K30+K89+K82+K90)</f>
        <v>0</v>
      </c>
      <c r="L28" s="6">
        <f>(L30+L89+L82+L90)</f>
        <v>0</v>
      </c>
      <c r="M28" s="6">
        <f>(M30+M89+M82+M90)</f>
        <v>0</v>
      </c>
      <c r="N28" s="26">
        <f>I28*0.8938636</f>
        <v>8425227.5640679989</v>
      </c>
      <c r="O28" s="26">
        <f>I28*0.827659</f>
        <v>7801207.5001699999</v>
      </c>
      <c r="P28" s="7"/>
    </row>
    <row r="29" spans="1:16" ht="15.75">
      <c r="A29" s="3"/>
      <c r="B29" s="4" t="s">
        <v>8</v>
      </c>
      <c r="C29" s="3"/>
      <c r="D29" s="3"/>
      <c r="E29" s="5"/>
      <c r="F29" s="3"/>
      <c r="G29" s="3"/>
      <c r="H29" s="6"/>
      <c r="I29" s="6"/>
      <c r="J29" s="6"/>
      <c r="K29" s="6"/>
      <c r="L29" s="6"/>
      <c r="M29" s="6"/>
      <c r="N29" s="26"/>
      <c r="O29" s="26"/>
      <c r="P29" s="7"/>
    </row>
    <row r="30" spans="1:16" ht="47.25">
      <c r="A30" s="3" t="s">
        <v>60</v>
      </c>
      <c r="B30" s="4" t="s">
        <v>61</v>
      </c>
      <c r="C30" s="3" t="s">
        <v>28</v>
      </c>
      <c r="D30" s="3" t="s">
        <v>28</v>
      </c>
      <c r="E30" s="3" t="s">
        <v>28</v>
      </c>
      <c r="F30" s="3" t="s">
        <v>28</v>
      </c>
      <c r="G30" s="3" t="s">
        <v>28</v>
      </c>
      <c r="H30" s="6">
        <v>0</v>
      </c>
      <c r="I30" s="6">
        <f>J30+K30+L30+M30</f>
        <v>7658347</v>
      </c>
      <c r="J30" s="6">
        <f>J31+J48+J49+J50+J56+J61+J66+J72+J78</f>
        <v>7658347</v>
      </c>
      <c r="K30" s="6">
        <f>K31+K48+K49+K50+K56+K61+K66+K72+K78</f>
        <v>0</v>
      </c>
      <c r="L30" s="6">
        <f>L31+L48+L49+L50+L56+L61+L66+L72+L78</f>
        <v>0</v>
      </c>
      <c r="M30" s="6">
        <f>(M31+M48+M49+M50+M56+M61+M66+M72+M78)</f>
        <v>0</v>
      </c>
      <c r="N30" s="26">
        <f>I30*0.8938636</f>
        <v>6845517.6194692003</v>
      </c>
      <c r="O30" s="26">
        <f>I30*0.827659</f>
        <v>6338499.8196729999</v>
      </c>
      <c r="P30" s="7"/>
    </row>
    <row r="31" spans="1:16" ht="15.75">
      <c r="A31" s="3" t="s">
        <v>62</v>
      </c>
      <c r="B31" s="4" t="s">
        <v>63</v>
      </c>
      <c r="C31" s="3" t="s">
        <v>28</v>
      </c>
      <c r="D31" s="3" t="s">
        <v>28</v>
      </c>
      <c r="E31" s="3" t="s">
        <v>28</v>
      </c>
      <c r="F31" s="3" t="s">
        <v>64</v>
      </c>
      <c r="G31" s="3" t="s">
        <v>28</v>
      </c>
      <c r="H31" s="6">
        <v>0</v>
      </c>
      <c r="I31" s="6">
        <f>J31+K31+L31+M31</f>
        <v>6103373</v>
      </c>
      <c r="J31" s="6">
        <f t="shared" ref="J31:M31" si="9">J33+J37+J44</f>
        <v>6103373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26">
        <f>I31*0.8938636</f>
        <v>5455582.9619228002</v>
      </c>
      <c r="O31" s="26">
        <f>I31*0.827659</f>
        <v>5051511.5938070007</v>
      </c>
      <c r="P31" s="7"/>
    </row>
    <row r="32" spans="1:16" ht="15.75">
      <c r="A32" s="3"/>
      <c r="B32" s="4" t="s">
        <v>8</v>
      </c>
      <c r="C32" s="3" t="s">
        <v>28</v>
      </c>
      <c r="D32" s="3" t="s">
        <v>28</v>
      </c>
      <c r="E32" s="3" t="s">
        <v>28</v>
      </c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15.75">
      <c r="A33" s="3"/>
      <c r="B33" s="4" t="s">
        <v>65</v>
      </c>
      <c r="C33" s="3" t="s">
        <v>36</v>
      </c>
      <c r="D33" s="3" t="s">
        <v>28</v>
      </c>
      <c r="E33" s="3" t="s">
        <v>28</v>
      </c>
      <c r="F33" s="3" t="s">
        <v>66</v>
      </c>
      <c r="G33" s="3" t="s">
        <v>28</v>
      </c>
      <c r="H33" s="6">
        <v>0</v>
      </c>
      <c r="I33" s="6">
        <f>J33+K33+L33+M33</f>
        <v>4830000</v>
      </c>
      <c r="J33" s="6">
        <f>J35+J36</f>
        <v>4830000</v>
      </c>
      <c r="K33" s="6">
        <f>K35+K36</f>
        <v>0</v>
      </c>
      <c r="L33" s="6">
        <f>L35+L36</f>
        <v>0</v>
      </c>
      <c r="M33" s="6">
        <f>M35+M36</f>
        <v>0</v>
      </c>
      <c r="N33" s="6">
        <f>I33*0.8938636</f>
        <v>4317361.1880000001</v>
      </c>
      <c r="O33" s="6">
        <f>I33*0.827659</f>
        <v>3997592.97</v>
      </c>
      <c r="P33" s="7"/>
    </row>
    <row r="34" spans="1:16" ht="15.75">
      <c r="A34" s="3"/>
      <c r="B34" s="4" t="s">
        <v>8</v>
      </c>
      <c r="C34" s="3"/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7"/>
    </row>
    <row r="35" spans="1:16" s="15" customFormat="1" ht="31.5">
      <c r="A35" s="9"/>
      <c r="B35" s="10" t="s">
        <v>67</v>
      </c>
      <c r="C35" s="9" t="s">
        <v>162</v>
      </c>
      <c r="D35" s="9" t="s">
        <v>40</v>
      </c>
      <c r="E35" s="9" t="s">
        <v>28</v>
      </c>
      <c r="F35" s="9" t="s">
        <v>66</v>
      </c>
      <c r="G35" s="9" t="s">
        <v>28</v>
      </c>
      <c r="H35" s="13">
        <v>0</v>
      </c>
      <c r="I35" s="13">
        <f>J35+K35+L35+M35</f>
        <v>3688000</v>
      </c>
      <c r="J35" s="13">
        <v>3688000</v>
      </c>
      <c r="K35" s="13">
        <v>0</v>
      </c>
      <c r="L35" s="13">
        <v>0</v>
      </c>
      <c r="M35" s="13">
        <v>0</v>
      </c>
      <c r="N35" s="13">
        <f>I35*0.8938636</f>
        <v>3296568.9567999998</v>
      </c>
      <c r="O35" s="13">
        <f>I35*0.827659</f>
        <v>3052406.392</v>
      </c>
      <c r="P35" s="14"/>
    </row>
    <row r="36" spans="1:16" s="22" customFormat="1" ht="31.5">
      <c r="A36" s="16"/>
      <c r="B36" s="17" t="s">
        <v>68</v>
      </c>
      <c r="C36" s="16" t="s">
        <v>163</v>
      </c>
      <c r="D36" s="16" t="s">
        <v>75</v>
      </c>
      <c r="E36" s="16" t="s">
        <v>28</v>
      </c>
      <c r="F36" s="16" t="s">
        <v>66</v>
      </c>
      <c r="G36" s="16" t="s">
        <v>28</v>
      </c>
      <c r="H36" s="20">
        <v>0</v>
      </c>
      <c r="I36" s="20">
        <f>J36+K36+L36+M36</f>
        <v>1142000</v>
      </c>
      <c r="J36" s="20">
        <v>1142000</v>
      </c>
      <c r="K36" s="20">
        <v>0</v>
      </c>
      <c r="L36" s="20">
        <v>0</v>
      </c>
      <c r="M36" s="20">
        <v>0</v>
      </c>
      <c r="N36" s="20">
        <f>I36*0.8938636</f>
        <v>1020792.2311999999</v>
      </c>
      <c r="O36" s="20">
        <f>I36*0.827659</f>
        <v>945186.5780000001</v>
      </c>
      <c r="P36" s="21"/>
    </row>
    <row r="37" spans="1:16" ht="15.75">
      <c r="A37" s="3"/>
      <c r="B37" s="4" t="s">
        <v>69</v>
      </c>
      <c r="C37" s="3" t="s">
        <v>36</v>
      </c>
      <c r="D37" s="3" t="s">
        <v>28</v>
      </c>
      <c r="E37" s="3" t="s">
        <v>28</v>
      </c>
      <c r="F37" s="3" t="s">
        <v>70</v>
      </c>
      <c r="G37" s="3" t="s">
        <v>28</v>
      </c>
      <c r="H37" s="6">
        <v>0</v>
      </c>
      <c r="I37" s="6">
        <f>J37+K37+L37+M37</f>
        <v>18200</v>
      </c>
      <c r="J37" s="6">
        <f>J39+J41+J40+J42+J43</f>
        <v>18200</v>
      </c>
      <c r="K37" s="6">
        <f t="shared" ref="K37:M37" si="10">K39+K41+K40+K42+K43</f>
        <v>0</v>
      </c>
      <c r="L37" s="6">
        <f t="shared" si="10"/>
        <v>0</v>
      </c>
      <c r="M37" s="6">
        <f t="shared" si="10"/>
        <v>0</v>
      </c>
      <c r="N37" s="6">
        <f>I37*0.8938636</f>
        <v>16268.317520000001</v>
      </c>
      <c r="O37" s="6">
        <f>I37*0.827659</f>
        <v>15063.3938</v>
      </c>
      <c r="P37" s="7"/>
    </row>
    <row r="38" spans="1:16" ht="15.75">
      <c r="A38" s="3"/>
      <c r="B38" s="4" t="s">
        <v>71</v>
      </c>
      <c r="C38" s="3"/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7"/>
    </row>
    <row r="39" spans="1:16" s="15" customFormat="1" ht="47.25" hidden="1">
      <c r="A39" s="9"/>
      <c r="B39" s="10" t="s">
        <v>72</v>
      </c>
      <c r="C39" s="9" t="s">
        <v>164</v>
      </c>
      <c r="D39" s="9" t="s">
        <v>40</v>
      </c>
      <c r="E39" s="11" t="s">
        <v>27</v>
      </c>
      <c r="F39" s="9" t="s">
        <v>70</v>
      </c>
      <c r="G39" s="9" t="s">
        <v>73</v>
      </c>
      <c r="H39" s="13">
        <v>0</v>
      </c>
      <c r="I39" s="13">
        <f t="shared" ref="I39:I50" si="11">J39+K39+L39+M39</f>
        <v>0</v>
      </c>
      <c r="J39" s="13">
        <v>0</v>
      </c>
      <c r="K39" s="13">
        <v>0</v>
      </c>
      <c r="L39" s="13">
        <v>0</v>
      </c>
      <c r="M39" s="13">
        <f>4500-4500</f>
        <v>0</v>
      </c>
      <c r="N39" s="13">
        <f t="shared" ref="N39:N44" si="12">I39*0.8938636</f>
        <v>0</v>
      </c>
      <c r="O39" s="13">
        <f t="shared" ref="O39:O44" si="13">I39*0.827659</f>
        <v>0</v>
      </c>
      <c r="P39" s="14"/>
    </row>
    <row r="40" spans="1:16" s="22" customFormat="1" ht="47.25" hidden="1">
      <c r="A40" s="16"/>
      <c r="B40" s="17" t="s">
        <v>74</v>
      </c>
      <c r="C40" s="9" t="s">
        <v>165</v>
      </c>
      <c r="D40" s="9" t="s">
        <v>75</v>
      </c>
      <c r="E40" s="11" t="s">
        <v>27</v>
      </c>
      <c r="F40" s="16" t="s">
        <v>70</v>
      </c>
      <c r="G40" s="16" t="s">
        <v>73</v>
      </c>
      <c r="H40" s="20">
        <v>0</v>
      </c>
      <c r="I40" s="20">
        <f t="shared" si="11"/>
        <v>0</v>
      </c>
      <c r="J40" s="20">
        <v>0</v>
      </c>
      <c r="K40" s="20">
        <f>300-300</f>
        <v>0</v>
      </c>
      <c r="L40" s="20">
        <f>300-300</f>
        <v>0</v>
      </c>
      <c r="M40" s="20">
        <f>300-300</f>
        <v>0</v>
      </c>
      <c r="N40" s="20">
        <f t="shared" si="12"/>
        <v>0</v>
      </c>
      <c r="O40" s="20">
        <f t="shared" si="13"/>
        <v>0</v>
      </c>
      <c r="P40" s="21"/>
    </row>
    <row r="41" spans="1:16" s="15" customFormat="1" ht="31.5">
      <c r="A41" s="9"/>
      <c r="B41" s="10" t="s">
        <v>76</v>
      </c>
      <c r="C41" s="9" t="s">
        <v>164</v>
      </c>
      <c r="D41" s="9" t="s">
        <v>40</v>
      </c>
      <c r="E41" s="11" t="s">
        <v>27</v>
      </c>
      <c r="F41" s="9" t="s">
        <v>70</v>
      </c>
      <c r="G41" s="9" t="s">
        <v>28</v>
      </c>
      <c r="H41" s="13">
        <v>0</v>
      </c>
      <c r="I41" s="13">
        <f>J41+K41+L41+M41</f>
        <v>18200</v>
      </c>
      <c r="J41" s="13">
        <v>18200</v>
      </c>
      <c r="K41" s="13">
        <v>0</v>
      </c>
      <c r="L41" s="13">
        <v>0</v>
      </c>
      <c r="M41" s="13">
        <v>0</v>
      </c>
      <c r="N41" s="13">
        <f t="shared" si="12"/>
        <v>16268.317520000001</v>
      </c>
      <c r="O41" s="13">
        <f t="shared" si="13"/>
        <v>15063.3938</v>
      </c>
      <c r="P41" s="14"/>
    </row>
    <row r="42" spans="1:16" s="15" customFormat="1" ht="31.5" hidden="1">
      <c r="A42" s="9"/>
      <c r="B42" s="23" t="s">
        <v>77</v>
      </c>
      <c r="C42" s="9" t="s">
        <v>164</v>
      </c>
      <c r="D42" s="9" t="s">
        <v>40</v>
      </c>
      <c r="E42" s="11" t="s">
        <v>27</v>
      </c>
      <c r="F42" s="24" t="s">
        <v>70</v>
      </c>
      <c r="G42" s="24" t="s">
        <v>28</v>
      </c>
      <c r="H42" s="13">
        <v>0</v>
      </c>
      <c r="I42" s="13">
        <f>J42+K42+L42+M42</f>
        <v>0</v>
      </c>
      <c r="J42" s="13">
        <v>0</v>
      </c>
      <c r="K42" s="13">
        <v>0</v>
      </c>
      <c r="L42" s="13">
        <v>0</v>
      </c>
      <c r="M42" s="13">
        <v>0</v>
      </c>
      <c r="N42" s="13">
        <f t="shared" si="12"/>
        <v>0</v>
      </c>
      <c r="O42" s="13">
        <f t="shared" si="13"/>
        <v>0</v>
      </c>
      <c r="P42" s="14"/>
    </row>
    <row r="43" spans="1:16" s="22" customFormat="1" ht="31.5">
      <c r="A43" s="16"/>
      <c r="B43" s="17" t="s">
        <v>79</v>
      </c>
      <c r="C43" s="3" t="s">
        <v>165</v>
      </c>
      <c r="D43" s="3" t="s">
        <v>75</v>
      </c>
      <c r="E43" s="5" t="s">
        <v>27</v>
      </c>
      <c r="F43" s="16" t="s">
        <v>70</v>
      </c>
      <c r="G43" s="16" t="s">
        <v>28</v>
      </c>
      <c r="H43" s="20">
        <v>0</v>
      </c>
      <c r="I43" s="20">
        <f>J43+K43+L43+M43</f>
        <v>0</v>
      </c>
      <c r="J43" s="20">
        <v>0</v>
      </c>
      <c r="K43" s="20">
        <v>0</v>
      </c>
      <c r="L43" s="20">
        <v>0</v>
      </c>
      <c r="M43" s="20">
        <v>0</v>
      </c>
      <c r="N43" s="20">
        <f t="shared" si="12"/>
        <v>0</v>
      </c>
      <c r="O43" s="20">
        <f t="shared" si="13"/>
        <v>0</v>
      </c>
      <c r="P43" s="21"/>
    </row>
    <row r="44" spans="1:16" ht="31.5">
      <c r="A44" s="3"/>
      <c r="B44" s="4" t="s">
        <v>80</v>
      </c>
      <c r="C44" s="3" t="s">
        <v>36</v>
      </c>
      <c r="D44" s="3"/>
      <c r="E44" s="5" t="s">
        <v>27</v>
      </c>
      <c r="F44" s="3" t="s">
        <v>81</v>
      </c>
      <c r="G44" s="3" t="s">
        <v>28</v>
      </c>
      <c r="H44" s="6">
        <v>0</v>
      </c>
      <c r="I44" s="6">
        <f>J44+K44+L44+M44</f>
        <v>1255173</v>
      </c>
      <c r="J44" s="6">
        <f>J46+J47</f>
        <v>1255173</v>
      </c>
      <c r="K44" s="6">
        <f>K46+K47</f>
        <v>0</v>
      </c>
      <c r="L44" s="6">
        <f>L46+L47</f>
        <v>0</v>
      </c>
      <c r="M44" s="6">
        <f>M46+M47</f>
        <v>0</v>
      </c>
      <c r="N44" s="6">
        <f t="shared" si="12"/>
        <v>1121953.4564028</v>
      </c>
      <c r="O44" s="6">
        <f t="shared" si="13"/>
        <v>1038855.230007</v>
      </c>
      <c r="P44" s="7"/>
    </row>
    <row r="45" spans="1:16" ht="15.75">
      <c r="A45" s="3"/>
      <c r="B45" s="4" t="s">
        <v>71</v>
      </c>
      <c r="C45" s="3"/>
      <c r="D45" s="3"/>
      <c r="E45" s="5" t="s">
        <v>27</v>
      </c>
      <c r="F45" s="3"/>
      <c r="G45" s="3"/>
      <c r="H45" s="6"/>
      <c r="I45" s="6"/>
      <c r="J45" s="6"/>
      <c r="K45" s="6"/>
      <c r="L45" s="6"/>
      <c r="M45" s="6"/>
      <c r="N45" s="6"/>
      <c r="O45" s="6"/>
      <c r="P45" s="7"/>
    </row>
    <row r="46" spans="1:16" s="15" customFormat="1" ht="47.25">
      <c r="A46" s="9"/>
      <c r="B46" s="10" t="s">
        <v>82</v>
      </c>
      <c r="C46" s="9" t="s">
        <v>166</v>
      </c>
      <c r="D46" s="9" t="s">
        <v>40</v>
      </c>
      <c r="E46" s="11" t="s">
        <v>27</v>
      </c>
      <c r="F46" s="9" t="s">
        <v>81</v>
      </c>
      <c r="G46" s="9" t="s">
        <v>28</v>
      </c>
      <c r="H46" s="13">
        <v>0</v>
      </c>
      <c r="I46" s="13">
        <f>J46+K46+L46+M46</f>
        <v>941173</v>
      </c>
      <c r="J46" s="13">
        <v>941173</v>
      </c>
      <c r="K46" s="13">
        <v>0</v>
      </c>
      <c r="L46" s="13">
        <v>0</v>
      </c>
      <c r="M46" s="13">
        <v>0</v>
      </c>
      <c r="N46" s="13">
        <f>I46*0.8938636</f>
        <v>841280.28600279998</v>
      </c>
      <c r="O46" s="13">
        <f>I46*0.827659</f>
        <v>778970.30400700006</v>
      </c>
      <c r="P46" s="14"/>
    </row>
    <row r="47" spans="1:16" s="22" customFormat="1" ht="47.25">
      <c r="A47" s="16"/>
      <c r="B47" s="17" t="s">
        <v>83</v>
      </c>
      <c r="C47" s="16" t="s">
        <v>167</v>
      </c>
      <c r="D47" s="16" t="s">
        <v>75</v>
      </c>
      <c r="E47" s="18" t="s">
        <v>27</v>
      </c>
      <c r="F47" s="16" t="s">
        <v>81</v>
      </c>
      <c r="G47" s="16" t="s">
        <v>28</v>
      </c>
      <c r="H47" s="20">
        <v>0</v>
      </c>
      <c r="I47" s="20">
        <f t="shared" si="11"/>
        <v>314000</v>
      </c>
      <c r="J47" s="20">
        <v>314000</v>
      </c>
      <c r="K47" s="20">
        <v>0</v>
      </c>
      <c r="L47" s="20">
        <v>0</v>
      </c>
      <c r="M47" s="20">
        <v>0</v>
      </c>
      <c r="N47" s="20">
        <f>I47*0.8938636</f>
        <v>280673.1704</v>
      </c>
      <c r="O47" s="20">
        <f>I47*0.827659</f>
        <v>259884.92600000001</v>
      </c>
      <c r="P47" s="21"/>
    </row>
    <row r="48" spans="1:16" s="15" customFormat="1" ht="15.75">
      <c r="A48" s="9" t="s">
        <v>84</v>
      </c>
      <c r="B48" s="10" t="s">
        <v>85</v>
      </c>
      <c r="C48" s="9" t="s">
        <v>168</v>
      </c>
      <c r="D48" s="9" t="s">
        <v>40</v>
      </c>
      <c r="E48" s="11" t="s">
        <v>27</v>
      </c>
      <c r="F48" s="9" t="s">
        <v>86</v>
      </c>
      <c r="G48" s="9" t="s">
        <v>28</v>
      </c>
      <c r="H48" s="13">
        <v>0</v>
      </c>
      <c r="I48" s="13">
        <f t="shared" si="11"/>
        <v>14784</v>
      </c>
      <c r="J48" s="13">
        <v>14784</v>
      </c>
      <c r="K48" s="13">
        <v>0</v>
      </c>
      <c r="L48" s="13">
        <v>0</v>
      </c>
      <c r="M48" s="13">
        <v>0</v>
      </c>
      <c r="N48" s="13">
        <f>I48*0.8938636</f>
        <v>13214.8794624</v>
      </c>
      <c r="O48" s="13">
        <f>I48*0.827659</f>
        <v>12236.110656000001</v>
      </c>
      <c r="P48" s="14"/>
    </row>
    <row r="49" spans="1:16" s="15" customFormat="1" ht="15.75">
      <c r="A49" s="9" t="s">
        <v>87</v>
      </c>
      <c r="B49" s="10" t="s">
        <v>88</v>
      </c>
      <c r="C49" s="9" t="s">
        <v>169</v>
      </c>
      <c r="D49" s="9" t="s">
        <v>40</v>
      </c>
      <c r="E49" s="11" t="s">
        <v>27</v>
      </c>
      <c r="F49" s="9" t="s">
        <v>89</v>
      </c>
      <c r="G49" s="9" t="s">
        <v>28</v>
      </c>
      <c r="H49" s="13">
        <v>0</v>
      </c>
      <c r="I49" s="13">
        <f t="shared" si="11"/>
        <v>0</v>
      </c>
      <c r="J49" s="13">
        <v>0</v>
      </c>
      <c r="K49" s="13">
        <v>0</v>
      </c>
      <c r="L49" s="13">
        <v>0</v>
      </c>
      <c r="M49" s="13">
        <v>0</v>
      </c>
      <c r="N49" s="13"/>
      <c r="O49" s="13"/>
      <c r="P49" s="14"/>
    </row>
    <row r="50" spans="1:16" s="22" customFormat="1" ht="15.75">
      <c r="A50" s="16" t="s">
        <v>90</v>
      </c>
      <c r="B50" s="17" t="s">
        <v>91</v>
      </c>
      <c r="C50" s="16" t="s">
        <v>170</v>
      </c>
      <c r="D50" s="16" t="s">
        <v>75</v>
      </c>
      <c r="E50" s="18" t="s">
        <v>27</v>
      </c>
      <c r="F50" s="16" t="s">
        <v>92</v>
      </c>
      <c r="G50" s="16" t="s">
        <v>28</v>
      </c>
      <c r="H50" s="20">
        <v>0</v>
      </c>
      <c r="I50" s="20">
        <f t="shared" si="11"/>
        <v>1299082</v>
      </c>
      <c r="J50" s="20">
        <f>J52+J53+J54+J55</f>
        <v>1299082</v>
      </c>
      <c r="K50" s="20">
        <f t="shared" ref="K50:O50" si="14">K52+K53+K54+K55</f>
        <v>0</v>
      </c>
      <c r="L50" s="20">
        <f t="shared" si="14"/>
        <v>0</v>
      </c>
      <c r="M50" s="20">
        <f t="shared" si="14"/>
        <v>0</v>
      </c>
      <c r="N50" s="20">
        <f t="shared" si="14"/>
        <v>1161202.1132151999</v>
      </c>
      <c r="O50" s="20">
        <f t="shared" si="14"/>
        <v>1075196.909038</v>
      </c>
      <c r="P50" s="21"/>
    </row>
    <row r="51" spans="1:16" ht="15.75" hidden="1">
      <c r="A51" s="3"/>
      <c r="B51" s="4" t="s">
        <v>71</v>
      </c>
      <c r="C51" s="3"/>
      <c r="D51" s="3"/>
      <c r="E51" s="5" t="s">
        <v>27</v>
      </c>
      <c r="F51" s="3"/>
      <c r="G51" s="3"/>
      <c r="H51" s="6"/>
      <c r="I51" s="6"/>
      <c r="J51" s="6"/>
      <c r="K51" s="6"/>
      <c r="L51" s="6"/>
      <c r="M51" s="6"/>
      <c r="N51" s="6"/>
      <c r="O51" s="6"/>
      <c r="P51" s="7"/>
    </row>
    <row r="52" spans="1:16" ht="15.75" hidden="1">
      <c r="A52" s="3"/>
      <c r="B52" s="4" t="s">
        <v>93</v>
      </c>
      <c r="C52" s="16" t="s">
        <v>170</v>
      </c>
      <c r="D52" s="3" t="s">
        <v>75</v>
      </c>
      <c r="E52" s="5" t="s">
        <v>27</v>
      </c>
      <c r="F52" s="3" t="s">
        <v>92</v>
      </c>
      <c r="G52" s="3" t="s">
        <v>94</v>
      </c>
      <c r="H52" s="6">
        <v>0</v>
      </c>
      <c r="I52" s="6">
        <f>J52+K52+L52+M52</f>
        <v>1299082</v>
      </c>
      <c r="J52" s="6">
        <v>1299082</v>
      </c>
      <c r="K52" s="6">
        <v>0</v>
      </c>
      <c r="L52" s="6">
        <v>0</v>
      </c>
      <c r="M52" s="6">
        <v>0</v>
      </c>
      <c r="N52" s="6">
        <f>I52*0.8938636</f>
        <v>1161202.1132151999</v>
      </c>
      <c r="O52" s="6">
        <f>I52*0.827659</f>
        <v>1075196.909038</v>
      </c>
      <c r="P52" s="7"/>
    </row>
    <row r="53" spans="1:16" ht="31.5" hidden="1">
      <c r="A53" s="3"/>
      <c r="B53" s="4" t="s">
        <v>95</v>
      </c>
      <c r="C53" s="16" t="s">
        <v>170</v>
      </c>
      <c r="D53" s="3" t="s">
        <v>75</v>
      </c>
      <c r="E53" s="5" t="s">
        <v>27</v>
      </c>
      <c r="F53" s="3" t="s">
        <v>92</v>
      </c>
      <c r="G53" s="3" t="s">
        <v>96</v>
      </c>
      <c r="H53" s="6">
        <v>0</v>
      </c>
      <c r="I53" s="6">
        <f>J53+K53+L53+M53</f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>I53*0.827659</f>
        <v>0</v>
      </c>
      <c r="P53" s="7"/>
    </row>
    <row r="54" spans="1:16" ht="31.5" hidden="1">
      <c r="A54" s="3"/>
      <c r="B54" s="4" t="s">
        <v>97</v>
      </c>
      <c r="C54" s="16" t="s">
        <v>170</v>
      </c>
      <c r="D54" s="3" t="s">
        <v>75</v>
      </c>
      <c r="E54" s="5" t="s">
        <v>27</v>
      </c>
      <c r="F54" s="3" t="s">
        <v>92</v>
      </c>
      <c r="G54" s="3" t="s">
        <v>98</v>
      </c>
      <c r="H54" s="6">
        <f>I54+N54+O54</f>
        <v>0</v>
      </c>
      <c r="I54" s="6">
        <f>J54+K54+L54+M54</f>
        <v>0</v>
      </c>
      <c r="J54" s="6">
        <v>0</v>
      </c>
      <c r="K54" s="6">
        <v>0</v>
      </c>
      <c r="L54" s="6">
        <v>0</v>
      </c>
      <c r="M54" s="6">
        <v>0</v>
      </c>
      <c r="N54" s="6">
        <f>I54*0.8938636</f>
        <v>0</v>
      </c>
      <c r="O54" s="6">
        <f>I54*0.827659</f>
        <v>0</v>
      </c>
      <c r="P54" s="7"/>
    </row>
    <row r="55" spans="1:16" ht="31.5" hidden="1">
      <c r="A55" s="3"/>
      <c r="B55" s="4" t="s">
        <v>99</v>
      </c>
      <c r="C55" s="16" t="s">
        <v>170</v>
      </c>
      <c r="D55" s="3" t="s">
        <v>75</v>
      </c>
      <c r="E55" s="5" t="s">
        <v>27</v>
      </c>
      <c r="F55" s="3" t="s">
        <v>92</v>
      </c>
      <c r="G55" s="3" t="s">
        <v>100</v>
      </c>
      <c r="H55" s="6"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 t="s">
        <v>101</v>
      </c>
      <c r="B56" s="4" t="s">
        <v>102</v>
      </c>
      <c r="C56" s="25" t="s">
        <v>171</v>
      </c>
      <c r="D56" s="25" t="s">
        <v>75</v>
      </c>
      <c r="E56" s="28" t="s">
        <v>27</v>
      </c>
      <c r="F56" s="3" t="s">
        <v>103</v>
      </c>
      <c r="G56" s="3" t="s">
        <v>28</v>
      </c>
      <c r="H56" s="6">
        <v>0</v>
      </c>
      <c r="I56" s="6">
        <f>J56+K56+L56+M56</f>
        <v>47000</v>
      </c>
      <c r="J56" s="6">
        <f t="shared" ref="J56:O56" si="15">J58+J59+J60</f>
        <v>47000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42011.589200000002</v>
      </c>
      <c r="O56" s="6">
        <f t="shared" si="15"/>
        <v>38899.972999999998</v>
      </c>
      <c r="P56" s="7"/>
    </row>
    <row r="57" spans="1:16" ht="15.75">
      <c r="A57" s="3"/>
      <c r="B57" s="4" t="s">
        <v>71</v>
      </c>
      <c r="C57" s="3"/>
      <c r="D57" s="3"/>
      <c r="E57" s="5" t="s">
        <v>27</v>
      </c>
      <c r="F57" s="3"/>
      <c r="G57" s="3"/>
      <c r="H57" s="6"/>
      <c r="I57" s="6"/>
      <c r="J57" s="6"/>
      <c r="K57" s="6"/>
      <c r="L57" s="6"/>
      <c r="M57" s="6"/>
      <c r="N57" s="6"/>
      <c r="O57" s="6"/>
      <c r="P57" s="7"/>
    </row>
    <row r="58" spans="1:16" s="22" customFormat="1" ht="31.5">
      <c r="A58" s="16"/>
      <c r="B58" s="17" t="s">
        <v>104</v>
      </c>
      <c r="C58" s="16" t="s">
        <v>171</v>
      </c>
      <c r="D58" s="16" t="s">
        <v>75</v>
      </c>
      <c r="E58" s="18" t="s">
        <v>27</v>
      </c>
      <c r="F58" s="16" t="s">
        <v>103</v>
      </c>
      <c r="G58" s="16" t="s">
        <v>28</v>
      </c>
      <c r="H58" s="20">
        <v>0</v>
      </c>
      <c r="I58" s="20">
        <f>J58+K58+L58+M58</f>
        <v>47000</v>
      </c>
      <c r="J58" s="20">
        <v>47000</v>
      </c>
      <c r="K58" s="20">
        <v>0</v>
      </c>
      <c r="L58" s="20">
        <v>0</v>
      </c>
      <c r="M58" s="20">
        <v>0</v>
      </c>
      <c r="N58" s="20">
        <f>I58*0.8938636</f>
        <v>42011.589200000002</v>
      </c>
      <c r="O58" s="20">
        <f>I58*0.827659</f>
        <v>38899.972999999998</v>
      </c>
      <c r="P58" s="21"/>
    </row>
    <row r="59" spans="1:16" ht="31.5">
      <c r="A59" s="3"/>
      <c r="B59" s="4" t="s">
        <v>105</v>
      </c>
      <c r="C59" s="16" t="s">
        <v>171</v>
      </c>
      <c r="D59" s="3" t="s">
        <v>75</v>
      </c>
      <c r="E59" s="5" t="s">
        <v>27</v>
      </c>
      <c r="F59" s="3" t="s">
        <v>103</v>
      </c>
      <c r="G59" s="3" t="s">
        <v>28</v>
      </c>
      <c r="H59" s="6">
        <f>I59+N59+O59</f>
        <v>0</v>
      </c>
      <c r="I59" s="6">
        <f>J59+K59+L59+M59</f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/>
    </row>
    <row r="60" spans="1:16" ht="47.25">
      <c r="A60" s="3"/>
      <c r="B60" s="4" t="s">
        <v>106</v>
      </c>
      <c r="C60" s="16" t="s">
        <v>171</v>
      </c>
      <c r="D60" s="3" t="s">
        <v>75</v>
      </c>
      <c r="E60" s="5" t="s">
        <v>27</v>
      </c>
      <c r="F60" s="3" t="s">
        <v>103</v>
      </c>
      <c r="G60" s="3" t="s">
        <v>28</v>
      </c>
      <c r="H60" s="6">
        <f>I60+N60+O60</f>
        <v>0</v>
      </c>
      <c r="I60" s="6">
        <f>J60+K60+L60+M60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7"/>
    </row>
    <row r="61" spans="1:16" ht="15.75">
      <c r="A61" s="3" t="s">
        <v>107</v>
      </c>
      <c r="B61" s="4" t="s">
        <v>108</v>
      </c>
      <c r="C61" s="3"/>
      <c r="D61" s="3"/>
      <c r="E61" s="5"/>
      <c r="F61" s="3" t="s">
        <v>109</v>
      </c>
      <c r="G61" s="3" t="s">
        <v>28</v>
      </c>
      <c r="H61" s="6">
        <v>0</v>
      </c>
      <c r="I61" s="6">
        <f>J61+K61+L61+M61</f>
        <v>57000</v>
      </c>
      <c r="J61" s="6">
        <f>J63+J64</f>
        <v>57000</v>
      </c>
      <c r="K61" s="6">
        <f>K63+K64</f>
        <v>0</v>
      </c>
      <c r="L61" s="6">
        <f>L63+L64</f>
        <v>0</v>
      </c>
      <c r="M61" s="6">
        <f>M63+M64</f>
        <v>0</v>
      </c>
      <c r="N61" s="6">
        <f>N63+N65</f>
        <v>0</v>
      </c>
      <c r="O61" s="6">
        <f>O63+O65</f>
        <v>0</v>
      </c>
      <c r="P61" s="7"/>
    </row>
    <row r="62" spans="1:16" ht="15.75">
      <c r="A62" s="3"/>
      <c r="B62" s="4" t="s">
        <v>71</v>
      </c>
      <c r="C62" s="3"/>
      <c r="D62" s="3"/>
      <c r="E62" s="5"/>
      <c r="F62" s="3"/>
      <c r="G62" s="3"/>
      <c r="H62" s="6"/>
      <c r="I62" s="6"/>
      <c r="J62" s="6"/>
      <c r="K62" s="6"/>
      <c r="L62" s="6"/>
      <c r="M62" s="6"/>
      <c r="N62" s="6"/>
      <c r="O62" s="6"/>
      <c r="P62" s="7"/>
    </row>
    <row r="63" spans="1:16" s="15" customFormat="1" ht="31.5">
      <c r="A63" s="9"/>
      <c r="B63" s="10" t="s">
        <v>110</v>
      </c>
      <c r="C63" s="9" t="s">
        <v>172</v>
      </c>
      <c r="D63" s="9" t="s">
        <v>40</v>
      </c>
      <c r="E63" s="5" t="s">
        <v>27</v>
      </c>
      <c r="F63" s="9" t="s">
        <v>109</v>
      </c>
      <c r="G63" s="9" t="s">
        <v>28</v>
      </c>
      <c r="H63" s="13">
        <v>0</v>
      </c>
      <c r="I63" s="13">
        <f>J63+K63+L63+M63</f>
        <v>0</v>
      </c>
      <c r="J63" s="13">
        <v>0</v>
      </c>
      <c r="K63" s="13">
        <v>0</v>
      </c>
      <c r="L63" s="13">
        <v>0</v>
      </c>
      <c r="M63" s="13">
        <v>0</v>
      </c>
      <c r="N63" s="13">
        <f>I63*0.8938636</f>
        <v>0</v>
      </c>
      <c r="O63" s="13">
        <f>I63*0.827659</f>
        <v>0</v>
      </c>
      <c r="P63" s="14"/>
    </row>
    <row r="64" spans="1:16" s="22" customFormat="1" ht="31.5">
      <c r="A64" s="16"/>
      <c r="B64" s="17" t="s">
        <v>111</v>
      </c>
      <c r="C64" s="16" t="s">
        <v>173</v>
      </c>
      <c r="D64" s="16" t="s">
        <v>75</v>
      </c>
      <c r="E64" s="5" t="s">
        <v>27</v>
      </c>
      <c r="F64" s="16" t="s">
        <v>109</v>
      </c>
      <c r="G64" s="16" t="s">
        <v>28</v>
      </c>
      <c r="H64" s="20">
        <v>0</v>
      </c>
      <c r="I64" s="20">
        <f>J64+K64+L64+M64</f>
        <v>57000</v>
      </c>
      <c r="J64" s="20">
        <v>57000</v>
      </c>
      <c r="K64" s="20">
        <v>0</v>
      </c>
      <c r="L64" s="20">
        <v>0</v>
      </c>
      <c r="M64" s="20">
        <v>0</v>
      </c>
      <c r="N64" s="20">
        <f>I64*0.8938636</f>
        <v>50950.225200000001</v>
      </c>
      <c r="O64" s="20">
        <f>I64*0.827659</f>
        <v>47176.563000000002</v>
      </c>
      <c r="P64" s="21"/>
    </row>
    <row r="65" spans="1:16" ht="78.75">
      <c r="A65" s="3"/>
      <c r="B65" s="4" t="s">
        <v>112</v>
      </c>
      <c r="C65" s="3" t="s">
        <v>172</v>
      </c>
      <c r="D65" s="3" t="s">
        <v>40</v>
      </c>
      <c r="E65" s="5" t="s">
        <v>27</v>
      </c>
      <c r="F65" s="3" t="s">
        <v>109</v>
      </c>
      <c r="G65" s="3" t="s">
        <v>28</v>
      </c>
      <c r="H65" s="6">
        <f>I65+N65+O65</f>
        <v>0</v>
      </c>
      <c r="I65" s="6">
        <f>J65+K65+L65+M65</f>
        <v>0</v>
      </c>
      <c r="J65" s="6">
        <v>0</v>
      </c>
      <c r="K65" s="6">
        <v>0</v>
      </c>
      <c r="L65" s="6">
        <v>0</v>
      </c>
      <c r="M65" s="6">
        <v>0</v>
      </c>
      <c r="N65" s="26">
        <f>I65*0.8938636</f>
        <v>0</v>
      </c>
      <c r="O65" s="26">
        <f>I65*0.827659</f>
        <v>0</v>
      </c>
      <c r="P65" s="7"/>
    </row>
    <row r="66" spans="1:16" ht="31.5">
      <c r="A66" s="3" t="s">
        <v>113</v>
      </c>
      <c r="B66" s="4" t="s">
        <v>114</v>
      </c>
      <c r="C66" s="3"/>
      <c r="D66" s="25"/>
      <c r="E66" s="5" t="s">
        <v>27</v>
      </c>
      <c r="F66" s="3" t="s">
        <v>115</v>
      </c>
      <c r="G66" s="3" t="s">
        <v>28</v>
      </c>
      <c r="H66" s="6">
        <v>0</v>
      </c>
      <c r="I66" s="6">
        <f>J66+K66+L66+M66</f>
        <v>0</v>
      </c>
      <c r="J66" s="6">
        <f t="shared" ref="J66:O66" si="16">J70+J71+J68</f>
        <v>0</v>
      </c>
      <c r="K66" s="6">
        <v>0</v>
      </c>
      <c r="L66" s="6">
        <f t="shared" si="16"/>
        <v>0</v>
      </c>
      <c r="M66" s="6">
        <v>0</v>
      </c>
      <c r="N66" s="6">
        <f t="shared" si="16"/>
        <v>0</v>
      </c>
      <c r="O66" s="6">
        <f t="shared" si="16"/>
        <v>0</v>
      </c>
      <c r="P66" s="7"/>
    </row>
    <row r="67" spans="1:16" ht="15.75">
      <c r="A67" s="3"/>
      <c r="B67" s="4" t="s">
        <v>71</v>
      </c>
      <c r="C67" s="3"/>
      <c r="D67" s="25"/>
      <c r="E67" s="5" t="s">
        <v>27</v>
      </c>
      <c r="F67" s="3"/>
      <c r="G67" s="3"/>
      <c r="H67" s="6"/>
      <c r="I67" s="6"/>
      <c r="J67" s="6"/>
      <c r="K67" s="6"/>
      <c r="L67" s="6"/>
      <c r="M67" s="6"/>
      <c r="N67" s="6"/>
      <c r="O67" s="6"/>
      <c r="P67" s="7"/>
    </row>
    <row r="68" spans="1:16" ht="39.75" customHeight="1">
      <c r="A68" s="3"/>
      <c r="B68" s="4" t="s">
        <v>116</v>
      </c>
      <c r="C68" s="3" t="s">
        <v>174</v>
      </c>
      <c r="D68" s="3" t="s">
        <v>40</v>
      </c>
      <c r="E68" s="5" t="s">
        <v>27</v>
      </c>
      <c r="F68" s="24" t="s">
        <v>115</v>
      </c>
      <c r="G68" s="24" t="s">
        <v>28</v>
      </c>
      <c r="H68" s="27">
        <v>0</v>
      </c>
      <c r="I68" s="27">
        <f>J68+K68+L68+M68</f>
        <v>0</v>
      </c>
      <c r="J68" s="27"/>
      <c r="K68" s="27">
        <v>0</v>
      </c>
      <c r="L68" s="27">
        <v>0</v>
      </c>
      <c r="M68" s="27">
        <v>0</v>
      </c>
      <c r="N68" s="27">
        <f t="shared" ref="N68:N69" si="17">I68*0.8938636</f>
        <v>0</v>
      </c>
      <c r="O68" s="27">
        <f t="shared" ref="O68:O69" si="18">I68*0.827659</f>
        <v>0</v>
      </c>
      <c r="P68" s="7"/>
    </row>
    <row r="69" spans="1:16" ht="31.5">
      <c r="A69" s="3"/>
      <c r="B69" s="4" t="s">
        <v>117</v>
      </c>
      <c r="C69" s="3" t="s">
        <v>175</v>
      </c>
      <c r="D69" s="25" t="s">
        <v>75</v>
      </c>
      <c r="E69" s="5" t="s">
        <v>27</v>
      </c>
      <c r="F69" s="16" t="s">
        <v>115</v>
      </c>
      <c r="G69" s="16" t="s">
        <v>28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f t="shared" si="17"/>
        <v>0</v>
      </c>
      <c r="O69" s="20">
        <f t="shared" si="18"/>
        <v>0</v>
      </c>
      <c r="P69" s="7"/>
    </row>
    <row r="70" spans="1:16" ht="78.75">
      <c r="A70" s="3"/>
      <c r="B70" s="4" t="s">
        <v>118</v>
      </c>
      <c r="C70" s="3" t="s">
        <v>174</v>
      </c>
      <c r="D70" s="3" t="s">
        <v>40</v>
      </c>
      <c r="E70" s="5" t="s">
        <v>27</v>
      </c>
      <c r="F70" s="3" t="s">
        <v>115</v>
      </c>
      <c r="G70" s="3" t="s">
        <v>28</v>
      </c>
      <c r="H70" s="6">
        <f>I70+N70+O70</f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7"/>
    </row>
    <row r="71" spans="1:16" ht="47.25">
      <c r="A71" s="3" t="s">
        <v>119</v>
      </c>
      <c r="B71" s="4" t="s">
        <v>120</v>
      </c>
      <c r="C71" s="3"/>
      <c r="D71" s="25"/>
      <c r="E71" s="5"/>
      <c r="F71" s="3" t="s">
        <v>115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121</v>
      </c>
      <c r="B72" s="4" t="s">
        <v>122</v>
      </c>
      <c r="C72" s="3"/>
      <c r="D72" s="25"/>
      <c r="E72" s="5"/>
      <c r="F72" s="3" t="s">
        <v>123</v>
      </c>
      <c r="G72" s="3" t="s">
        <v>28</v>
      </c>
      <c r="H72" s="6">
        <v>0</v>
      </c>
      <c r="I72" s="6">
        <f>J72+K72+L72+M72</f>
        <v>137108</v>
      </c>
      <c r="J72" s="6">
        <f>J74+J75+J76+J77</f>
        <v>137108</v>
      </c>
      <c r="K72" s="6">
        <f t="shared" ref="K72:M72" si="19">K74+K75+K76+K77</f>
        <v>0</v>
      </c>
      <c r="L72" s="6">
        <f t="shared" si="19"/>
        <v>0</v>
      </c>
      <c r="M72" s="6">
        <f t="shared" si="19"/>
        <v>0</v>
      </c>
      <c r="N72" s="6">
        <f t="shared" ref="N72:O72" si="20">N74+N75+N76</f>
        <v>122555.8504688</v>
      </c>
      <c r="O72" s="6">
        <f t="shared" si="20"/>
        <v>113478.670172</v>
      </c>
      <c r="P72" s="7"/>
    </row>
    <row r="73" spans="1:16" ht="15.75">
      <c r="A73" s="3"/>
      <c r="B73" s="4" t="s">
        <v>71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118</v>
      </c>
      <c r="C74" s="3" t="s">
        <v>176</v>
      </c>
      <c r="D74" s="3" t="s">
        <v>40</v>
      </c>
      <c r="E74" s="5" t="s">
        <v>27</v>
      </c>
      <c r="F74" s="3" t="s">
        <v>123</v>
      </c>
      <c r="G74" s="3" t="s">
        <v>28</v>
      </c>
      <c r="H74" s="6">
        <f>I74+N74+O74</f>
        <v>0</v>
      </c>
      <c r="I74" s="6">
        <f>J74+K74+L74+M74</f>
        <v>0</v>
      </c>
      <c r="J74" s="6">
        <f t="shared" ref="J74:O74" si="21">K74+L74+M74+N74</f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6">
        <f t="shared" si="21"/>
        <v>0</v>
      </c>
      <c r="P74" s="7"/>
    </row>
    <row r="75" spans="1:16" s="15" customFormat="1" ht="31.5">
      <c r="A75" s="16"/>
      <c r="B75" s="17" t="s">
        <v>124</v>
      </c>
      <c r="C75" s="16" t="s">
        <v>176</v>
      </c>
      <c r="D75" s="16" t="s">
        <v>40</v>
      </c>
      <c r="E75" s="18" t="s">
        <v>27</v>
      </c>
      <c r="F75" s="16" t="s">
        <v>123</v>
      </c>
      <c r="G75" s="16" t="s">
        <v>28</v>
      </c>
      <c r="H75" s="20">
        <v>0</v>
      </c>
      <c r="I75" s="20">
        <f>J75+K75+L75+M75</f>
        <v>137108</v>
      </c>
      <c r="J75" s="20">
        <v>137108</v>
      </c>
      <c r="K75" s="20">
        <v>0</v>
      </c>
      <c r="L75" s="20">
        <v>0</v>
      </c>
      <c r="M75" s="20">
        <v>0</v>
      </c>
      <c r="N75" s="20">
        <f>I75*0.8938636</f>
        <v>122555.8504688</v>
      </c>
      <c r="O75" s="20">
        <f>I75*0.827659</f>
        <v>113478.670172</v>
      </c>
      <c r="P75" s="14"/>
    </row>
    <row r="76" spans="1:16" s="15" customFormat="1" ht="47.25">
      <c r="A76" s="9"/>
      <c r="B76" s="10" t="s">
        <v>125</v>
      </c>
      <c r="C76" s="9" t="s">
        <v>176</v>
      </c>
      <c r="D76" s="9" t="s">
        <v>40</v>
      </c>
      <c r="E76" s="5" t="s">
        <v>27</v>
      </c>
      <c r="F76" s="9" t="s">
        <v>123</v>
      </c>
      <c r="G76" s="9" t="s">
        <v>28</v>
      </c>
      <c r="H76" s="13">
        <v>0</v>
      </c>
      <c r="I76" s="13">
        <f>J76+K76+L76+M76</f>
        <v>0</v>
      </c>
      <c r="J76" s="13">
        <v>0</v>
      </c>
      <c r="K76" s="13">
        <v>0</v>
      </c>
      <c r="L76" s="13">
        <v>0</v>
      </c>
      <c r="M76" s="13">
        <v>0</v>
      </c>
      <c r="N76" s="13">
        <f>I76*0.8938636</f>
        <v>0</v>
      </c>
      <c r="O76" s="13">
        <f>I76*0.827659</f>
        <v>0</v>
      </c>
      <c r="P76" s="14"/>
    </row>
    <row r="77" spans="1:16" s="22" customFormat="1" ht="47.25">
      <c r="A77" s="16"/>
      <c r="B77" s="17" t="s">
        <v>126</v>
      </c>
      <c r="C77" s="16" t="s">
        <v>177</v>
      </c>
      <c r="D77" s="16" t="s">
        <v>75</v>
      </c>
      <c r="E77" s="5" t="s">
        <v>27</v>
      </c>
      <c r="F77" s="16" t="s">
        <v>123</v>
      </c>
      <c r="G77" s="16" t="s">
        <v>28</v>
      </c>
      <c r="H77" s="20">
        <v>0</v>
      </c>
      <c r="I77" s="20">
        <f>J77+K77+L77+M77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f>I77*0.8938636</f>
        <v>0</v>
      </c>
      <c r="O77" s="20">
        <f>I77*0.827659</f>
        <v>0</v>
      </c>
      <c r="P77" s="21"/>
    </row>
    <row r="78" spans="1:16" ht="15.75">
      <c r="A78" s="3" t="s">
        <v>127</v>
      </c>
      <c r="B78" s="4" t="s">
        <v>128</v>
      </c>
      <c r="C78" s="3"/>
      <c r="D78" s="3"/>
      <c r="E78" s="5"/>
      <c r="F78" s="3" t="s">
        <v>129</v>
      </c>
      <c r="G78" s="3" t="s">
        <v>28</v>
      </c>
      <c r="H78" s="6">
        <v>0</v>
      </c>
      <c r="I78" s="6">
        <f>J78+K78+L78+M78</f>
        <v>0</v>
      </c>
      <c r="J78" s="6">
        <f t="shared" ref="J78:O78" si="22">J80+J81</f>
        <v>0</v>
      </c>
      <c r="K78" s="6">
        <f t="shared" si="22"/>
        <v>0</v>
      </c>
      <c r="L78" s="6">
        <f t="shared" si="22"/>
        <v>0</v>
      </c>
      <c r="M78" s="6">
        <f t="shared" si="22"/>
        <v>0</v>
      </c>
      <c r="N78" s="6">
        <f t="shared" si="22"/>
        <v>0</v>
      </c>
      <c r="O78" s="6">
        <f t="shared" si="22"/>
        <v>0</v>
      </c>
      <c r="P78" s="7"/>
    </row>
    <row r="79" spans="1:16" ht="15.75">
      <c r="A79" s="3"/>
      <c r="B79" s="4" t="s">
        <v>71</v>
      </c>
      <c r="C79" s="3"/>
      <c r="D79" s="3"/>
      <c r="E79" s="5"/>
      <c r="F79" s="3"/>
      <c r="G79" s="3"/>
      <c r="H79" s="6"/>
      <c r="I79" s="6"/>
      <c r="J79" s="6"/>
      <c r="K79" s="6"/>
      <c r="L79" s="6"/>
      <c r="M79" s="6"/>
      <c r="N79" s="6"/>
      <c r="O79" s="6"/>
      <c r="P79" s="7"/>
    </row>
    <row r="80" spans="1:16" s="15" customFormat="1" ht="15.75">
      <c r="A80" s="9" t="s">
        <v>130</v>
      </c>
      <c r="B80" s="10" t="s">
        <v>128</v>
      </c>
      <c r="C80" s="9" t="s">
        <v>178</v>
      </c>
      <c r="D80" s="9" t="s">
        <v>40</v>
      </c>
      <c r="E80" s="5" t="s">
        <v>27</v>
      </c>
      <c r="F80" s="9" t="s">
        <v>129</v>
      </c>
      <c r="G80" s="9" t="s">
        <v>28</v>
      </c>
      <c r="H80" s="13">
        <v>0</v>
      </c>
      <c r="I80" s="13">
        <f>J80+K80+L80+M80</f>
        <v>0</v>
      </c>
      <c r="J80" s="13">
        <v>0</v>
      </c>
      <c r="K80" s="13">
        <f>4000-4000</f>
        <v>0</v>
      </c>
      <c r="L80" s="13">
        <v>0</v>
      </c>
      <c r="M80" s="13">
        <v>0</v>
      </c>
      <c r="N80" s="27">
        <f t="shared" ref="N80:N81" si="23">I80*0.8938636</f>
        <v>0</v>
      </c>
      <c r="O80" s="27">
        <f t="shared" ref="O80:O81" si="24">I80*0.827659</f>
        <v>0</v>
      </c>
      <c r="P80" s="14"/>
    </row>
    <row r="81" spans="1:16" ht="15.75">
      <c r="A81" s="3" t="s">
        <v>131</v>
      </c>
      <c r="B81" s="17" t="s">
        <v>128</v>
      </c>
      <c r="C81" s="3" t="s">
        <v>179</v>
      </c>
      <c r="D81" s="3" t="s">
        <v>75</v>
      </c>
      <c r="E81" s="5" t="s">
        <v>27</v>
      </c>
      <c r="F81" s="3" t="s">
        <v>129</v>
      </c>
      <c r="G81" s="3" t="s">
        <v>28</v>
      </c>
      <c r="H81" s="6">
        <v>0</v>
      </c>
      <c r="I81" s="6">
        <f>J81+K81+L81+M81</f>
        <v>0</v>
      </c>
      <c r="J81" s="6"/>
      <c r="K81" s="6">
        <f>500-500</f>
        <v>0</v>
      </c>
      <c r="L81" s="6">
        <v>0</v>
      </c>
      <c r="M81" s="6">
        <v>0</v>
      </c>
      <c r="N81" s="20">
        <f t="shared" si="23"/>
        <v>0</v>
      </c>
      <c r="O81" s="20">
        <f t="shared" si="24"/>
        <v>0</v>
      </c>
      <c r="P81" s="7"/>
    </row>
    <row r="82" spans="1:16" ht="31.5">
      <c r="A82" s="3" t="s">
        <v>132</v>
      </c>
      <c r="B82" s="4" t="s">
        <v>133</v>
      </c>
      <c r="C82" s="3" t="s">
        <v>46</v>
      </c>
      <c r="D82" s="3"/>
      <c r="E82" s="5"/>
      <c r="F82" s="3" t="s">
        <v>28</v>
      </c>
      <c r="G82" s="3" t="s">
        <v>28</v>
      </c>
      <c r="H82" s="6">
        <v>0</v>
      </c>
      <c r="I82" s="6">
        <f>I83+I84+I85+I86+I87+I88</f>
        <v>1663283</v>
      </c>
      <c r="J82" s="6">
        <f>J83+J84+J85+J86+J87+J88</f>
        <v>1663283</v>
      </c>
      <c r="K82" s="6">
        <f t="shared" ref="K82:M82" si="25">K83+K84+K85+K86</f>
        <v>0</v>
      </c>
      <c r="L82" s="6">
        <f t="shared" si="25"/>
        <v>0</v>
      </c>
      <c r="M82" s="6">
        <f t="shared" si="25"/>
        <v>0</v>
      </c>
      <c r="N82" s="31">
        <f>I82*0.8938636</f>
        <v>1486748.1301988</v>
      </c>
      <c r="O82" s="31">
        <f>I82*0.827659</f>
        <v>1376631.1444970001</v>
      </c>
      <c r="P82" s="7"/>
    </row>
    <row r="83" spans="1:16" s="15" customFormat="1" ht="69" customHeight="1">
      <c r="A83" s="9" t="s">
        <v>134</v>
      </c>
      <c r="B83" s="35" t="s">
        <v>196</v>
      </c>
      <c r="C83" s="25" t="s">
        <v>151</v>
      </c>
      <c r="D83" s="25" t="s">
        <v>75</v>
      </c>
      <c r="E83" s="11" t="s">
        <v>182</v>
      </c>
      <c r="F83" s="25" t="s">
        <v>123</v>
      </c>
      <c r="G83" s="25" t="s">
        <v>28</v>
      </c>
      <c r="H83" s="13">
        <v>0</v>
      </c>
      <c r="I83" s="13">
        <f>J83+K83+L83+M83</f>
        <v>64600</v>
      </c>
      <c r="J83" s="13">
        <f>J20</f>
        <v>64600</v>
      </c>
      <c r="K83" s="13">
        <v>0</v>
      </c>
      <c r="L83" s="13">
        <v>0</v>
      </c>
      <c r="M83" s="13">
        <v>0</v>
      </c>
      <c r="N83" s="12">
        <f>I83*0.8938636</f>
        <v>57743.588559999997</v>
      </c>
      <c r="O83" s="12">
        <f>I83*0.827659</f>
        <v>53466.771400000005</v>
      </c>
      <c r="P83" s="14"/>
    </row>
    <row r="84" spans="1:16" s="15" customFormat="1" ht="63">
      <c r="A84" s="9" t="s">
        <v>135</v>
      </c>
      <c r="B84" s="10" t="s">
        <v>197</v>
      </c>
      <c r="C84" s="25" t="s">
        <v>152</v>
      </c>
      <c r="D84" s="25" t="s">
        <v>49</v>
      </c>
      <c r="E84" s="11" t="s">
        <v>183</v>
      </c>
      <c r="F84" s="25" t="s">
        <v>123</v>
      </c>
      <c r="G84" s="25" t="s">
        <v>28</v>
      </c>
      <c r="H84" s="13">
        <v>0</v>
      </c>
      <c r="I84" s="13">
        <f>J84+K84+L84+M84</f>
        <v>103360</v>
      </c>
      <c r="J84" s="13">
        <f>J21</f>
        <v>103360</v>
      </c>
      <c r="K84" s="13">
        <v>0</v>
      </c>
      <c r="L84" s="13">
        <v>0</v>
      </c>
      <c r="M84" s="13">
        <v>0</v>
      </c>
      <c r="N84" s="12">
        <f>I84*0.8938636</f>
        <v>92389.741695999997</v>
      </c>
      <c r="O84" s="12">
        <f>I84*0.827659</f>
        <v>85546.834239999996</v>
      </c>
      <c r="P84" s="14"/>
    </row>
    <row r="85" spans="1:16" ht="50.25" customHeight="1">
      <c r="A85" s="3" t="s">
        <v>136</v>
      </c>
      <c r="B85" s="4" t="s">
        <v>186</v>
      </c>
      <c r="C85" s="3" t="s">
        <v>153</v>
      </c>
      <c r="D85" s="25" t="s">
        <v>75</v>
      </c>
      <c r="E85" s="5" t="s">
        <v>187</v>
      </c>
      <c r="F85" s="3" t="s">
        <v>103</v>
      </c>
      <c r="G85" s="3" t="s">
        <v>28</v>
      </c>
      <c r="H85" s="6">
        <v>0</v>
      </c>
      <c r="I85" s="6">
        <f t="shared" ref="I85" si="26">J85+K85+L85+M85</f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/>
    </row>
    <row r="86" spans="1:16" ht="47.25">
      <c r="A86" s="3" t="s">
        <v>137</v>
      </c>
      <c r="B86" s="36" t="s">
        <v>198</v>
      </c>
      <c r="C86" s="3" t="s">
        <v>151</v>
      </c>
      <c r="D86" s="3" t="s">
        <v>75</v>
      </c>
      <c r="E86" s="5" t="s">
        <v>184</v>
      </c>
      <c r="F86" s="3" t="s">
        <v>123</v>
      </c>
      <c r="G86" s="3" t="s">
        <v>28</v>
      </c>
      <c r="H86" s="6">
        <v>0</v>
      </c>
      <c r="I86" s="6">
        <f t="shared" ref="I86:I88" si="27">J86+K86+L86+M86</f>
        <v>62023</v>
      </c>
      <c r="J86" s="6">
        <f>J23</f>
        <v>62023</v>
      </c>
      <c r="K86" s="6">
        <v>0</v>
      </c>
      <c r="L86" s="6">
        <v>0</v>
      </c>
      <c r="M86" s="6">
        <v>0</v>
      </c>
      <c r="N86" s="6">
        <f t="shared" ref="N86:N88" si="28">I86*0.8938636</f>
        <v>55440.102062799997</v>
      </c>
      <c r="O86" s="6">
        <f t="shared" ref="O86:O88" si="29">I86*0.827659</f>
        <v>51333.894157000002</v>
      </c>
      <c r="P86" s="7"/>
    </row>
    <row r="87" spans="1:16" s="15" customFormat="1" ht="117" customHeight="1">
      <c r="A87" s="9" t="s">
        <v>138</v>
      </c>
      <c r="B87" s="10" t="s">
        <v>191</v>
      </c>
      <c r="C87" s="9" t="s">
        <v>153</v>
      </c>
      <c r="D87" s="9" t="s">
        <v>75</v>
      </c>
      <c r="E87" s="11" t="s">
        <v>192</v>
      </c>
      <c r="F87" s="9" t="s">
        <v>103</v>
      </c>
      <c r="G87" s="9" t="s">
        <v>28</v>
      </c>
      <c r="H87" s="13">
        <v>0</v>
      </c>
      <c r="I87" s="13">
        <f t="shared" si="27"/>
        <v>477700</v>
      </c>
      <c r="J87" s="13">
        <v>477700</v>
      </c>
      <c r="K87" s="13">
        <v>0</v>
      </c>
      <c r="L87" s="13">
        <v>0</v>
      </c>
      <c r="M87" s="13">
        <v>0</v>
      </c>
      <c r="N87" s="12">
        <f t="shared" si="28"/>
        <v>426998.64172000001</v>
      </c>
      <c r="O87" s="12">
        <f t="shared" si="29"/>
        <v>395372.70430000004</v>
      </c>
      <c r="P87" s="14"/>
    </row>
    <row r="88" spans="1:16" s="15" customFormat="1" ht="101.25" customHeight="1">
      <c r="A88" s="9" t="s">
        <v>139</v>
      </c>
      <c r="B88" s="10" t="s">
        <v>193</v>
      </c>
      <c r="C88" s="9" t="s">
        <v>153</v>
      </c>
      <c r="D88" s="9" t="s">
        <v>194</v>
      </c>
      <c r="E88" s="11" t="s">
        <v>195</v>
      </c>
      <c r="F88" s="9" t="s">
        <v>103</v>
      </c>
      <c r="G88" s="9" t="s">
        <v>28</v>
      </c>
      <c r="H88" s="13">
        <v>0</v>
      </c>
      <c r="I88" s="13">
        <f t="shared" si="27"/>
        <v>955600</v>
      </c>
      <c r="J88" s="13">
        <v>955600</v>
      </c>
      <c r="K88" s="13">
        <v>0</v>
      </c>
      <c r="L88" s="13">
        <v>0</v>
      </c>
      <c r="M88" s="13">
        <v>0</v>
      </c>
      <c r="N88" s="12">
        <f t="shared" si="28"/>
        <v>854176.05616000004</v>
      </c>
      <c r="O88" s="12">
        <f t="shared" si="29"/>
        <v>790910.94040000008</v>
      </c>
      <c r="P88" s="14"/>
    </row>
    <row r="89" spans="1:16" ht="15.75">
      <c r="A89" s="3" t="s">
        <v>140</v>
      </c>
      <c r="B89" s="4" t="s">
        <v>141</v>
      </c>
      <c r="C89" s="3" t="s">
        <v>181</v>
      </c>
      <c r="D89" s="3" t="s">
        <v>181</v>
      </c>
      <c r="E89" s="5">
        <v>0</v>
      </c>
      <c r="F89" s="3" t="s">
        <v>28</v>
      </c>
      <c r="G89" s="3" t="s">
        <v>28</v>
      </c>
      <c r="H89" s="6">
        <v>0</v>
      </c>
      <c r="I89" s="6">
        <f>J89+K89+L89+M89</f>
        <v>0</v>
      </c>
      <c r="J89" s="6">
        <v>0</v>
      </c>
      <c r="K89" s="6">
        <v>0</v>
      </c>
      <c r="L89" s="6">
        <v>0</v>
      </c>
      <c r="M89" s="6">
        <v>0</v>
      </c>
      <c r="N89" s="26">
        <f>I89*0.8938636</f>
        <v>0</v>
      </c>
      <c r="O89" s="26">
        <f>I89*0.827659</f>
        <v>0</v>
      </c>
      <c r="P89" s="7"/>
    </row>
    <row r="90" spans="1:16" ht="195" customHeight="1">
      <c r="A90" s="3" t="s">
        <v>142</v>
      </c>
      <c r="B90" s="4" t="s">
        <v>143</v>
      </c>
      <c r="C90" s="3" t="s">
        <v>180</v>
      </c>
      <c r="D90" s="3" t="s">
        <v>185</v>
      </c>
      <c r="E90" s="5" t="s">
        <v>27</v>
      </c>
      <c r="F90" s="3" t="s">
        <v>123</v>
      </c>
      <c r="G90" s="3" t="s">
        <v>28</v>
      </c>
      <c r="H90" s="6">
        <v>0</v>
      </c>
      <c r="I90" s="6">
        <f>J90+K90+L90+M90</f>
        <v>104000</v>
      </c>
      <c r="J90" s="6">
        <v>104000</v>
      </c>
      <c r="K90" s="6">
        <v>0</v>
      </c>
      <c r="L90" s="6">
        <v>0</v>
      </c>
      <c r="M90" s="6">
        <v>0</v>
      </c>
      <c r="N90" s="31">
        <f>I90*0.8938636</f>
        <v>92961.814400000003</v>
      </c>
      <c r="O90" s="31">
        <f>I90*0.827659</f>
        <v>86076.536000000007</v>
      </c>
      <c r="P90" s="7"/>
    </row>
    <row r="91" spans="1:16" ht="15.75">
      <c r="A91" s="5" t="s">
        <v>144</v>
      </c>
      <c r="B91" s="4" t="s">
        <v>145</v>
      </c>
      <c r="C91" s="3"/>
      <c r="D91" s="3"/>
      <c r="E91" s="5"/>
      <c r="F91" s="4"/>
      <c r="G91" s="4"/>
      <c r="H91" s="6">
        <v>0</v>
      </c>
      <c r="I91" s="6">
        <v>0</v>
      </c>
      <c r="J91" s="6" t="s">
        <v>29</v>
      </c>
      <c r="K91" s="6" t="s">
        <v>29</v>
      </c>
      <c r="L91" s="6" t="s">
        <v>29</v>
      </c>
      <c r="M91" s="6" t="s">
        <v>29</v>
      </c>
      <c r="N91" s="6"/>
      <c r="O91" s="6"/>
    </row>
    <row r="92" spans="1:16" ht="15.75">
      <c r="A92" s="5" t="s">
        <v>146</v>
      </c>
      <c r="B92" s="4" t="s">
        <v>147</v>
      </c>
      <c r="C92" s="3"/>
      <c r="D92" s="3"/>
      <c r="E92" s="5"/>
      <c r="F92" s="4"/>
      <c r="G92" s="4"/>
      <c r="H92" s="6">
        <f t="shared" ref="H92:H93" si="30">I92+N92+O92</f>
        <v>0</v>
      </c>
      <c r="I92" s="6">
        <f t="shared" ref="I92:I93" si="31">J92+K92+L92+M92</f>
        <v>0</v>
      </c>
      <c r="J92" s="6"/>
      <c r="K92" s="6"/>
      <c r="L92" s="6"/>
      <c r="M92" s="6"/>
      <c r="N92" s="6"/>
      <c r="O92" s="6"/>
    </row>
    <row r="93" spans="1:16" ht="190.5" customHeight="1">
      <c r="A93" s="5"/>
      <c r="B93" s="4" t="s">
        <v>148</v>
      </c>
      <c r="C93" s="3"/>
      <c r="D93" s="3"/>
      <c r="E93" s="5"/>
      <c r="F93" s="4"/>
      <c r="G93" s="4"/>
      <c r="H93" s="6">
        <f t="shared" si="30"/>
        <v>0</v>
      </c>
      <c r="I93" s="6">
        <f t="shared" si="31"/>
        <v>0</v>
      </c>
      <c r="J93" s="6"/>
      <c r="K93" s="6"/>
      <c r="L93" s="6"/>
      <c r="M93" s="6"/>
      <c r="N93" s="6"/>
      <c r="O93" s="6"/>
    </row>
    <row r="94" spans="1:16" ht="15.75">
      <c r="A94" s="29"/>
      <c r="F94"/>
      <c r="G94"/>
    </row>
    <row r="95" spans="1:16" ht="15.75">
      <c r="A95" s="30" t="s">
        <v>159</v>
      </c>
      <c r="D95" s="44" t="s">
        <v>154</v>
      </c>
      <c r="E95" s="44"/>
      <c r="F95" s="32" t="s">
        <v>160</v>
      </c>
      <c r="G95" s="32"/>
    </row>
    <row r="96" spans="1:16" ht="15.75">
      <c r="A96" s="29"/>
      <c r="F96" s="32"/>
      <c r="G96" s="32"/>
    </row>
    <row r="97" spans="1:7" ht="15.75">
      <c r="A97" s="30" t="s">
        <v>149</v>
      </c>
      <c r="D97" s="44" t="s">
        <v>154</v>
      </c>
      <c r="E97" s="44"/>
      <c r="F97" s="32" t="s">
        <v>155</v>
      </c>
      <c r="G97" s="32"/>
    </row>
    <row r="98" spans="1:7" ht="15.75">
      <c r="A98" s="29"/>
      <c r="F98"/>
      <c r="G98"/>
    </row>
    <row r="99" spans="1:7" ht="15.75">
      <c r="A99" s="29" t="s">
        <v>150</v>
      </c>
      <c r="F99"/>
      <c r="G99"/>
    </row>
    <row r="100" spans="1:7" ht="0.75" customHeight="1">
      <c r="A100" s="29"/>
      <c r="F100"/>
      <c r="G100"/>
    </row>
    <row r="101" spans="1:7" ht="15.75">
      <c r="A101" s="29" t="s">
        <v>156</v>
      </c>
      <c r="C101" s="45" t="s">
        <v>157</v>
      </c>
      <c r="D101" s="45"/>
      <c r="E101" s="45"/>
      <c r="F101"/>
      <c r="G101"/>
    </row>
    <row r="102" spans="1:7" ht="15.75">
      <c r="A102" s="29" t="s">
        <v>158</v>
      </c>
      <c r="F102"/>
      <c r="G102"/>
    </row>
    <row r="103" spans="1:7" ht="15.75">
      <c r="A103" s="29" t="s">
        <v>199</v>
      </c>
      <c r="F103"/>
      <c r="G103"/>
    </row>
  </sheetData>
  <mergeCells count="16">
    <mergeCell ref="D95:E95"/>
    <mergeCell ref="D97:E97"/>
    <mergeCell ref="C101:E101"/>
    <mergeCell ref="B2:I2"/>
    <mergeCell ref="F4:F9"/>
    <mergeCell ref="G4:G9"/>
    <mergeCell ref="H4:H9"/>
    <mergeCell ref="I4:O4"/>
    <mergeCell ref="I5:M6"/>
    <mergeCell ref="I7:I9"/>
    <mergeCell ref="J7:M7"/>
    <mergeCell ref="A4:A9"/>
    <mergeCell ref="B4:B9"/>
    <mergeCell ref="C4:C9"/>
    <mergeCell ref="D4:D9"/>
    <mergeCell ref="E4:E9"/>
  </mergeCells>
  <pageMargins left="0.98425196850393704" right="0" top="0" bottom="0" header="0.19685039370078741" footer="0.31496062992125984"/>
  <pageSetup paperSize="9" scale="44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view="pageBreakPreview" topLeftCell="A85" zoomScale="60" workbookViewId="0">
      <selection activeCell="O38" sqref="O38"/>
    </sheetView>
  </sheetViews>
  <sheetFormatPr defaultColWidth="12.7109375" defaultRowHeight="15"/>
  <cols>
    <col min="1" max="1" width="7.28515625" style="38" customWidth="1"/>
    <col min="2" max="2" width="25.42578125" customWidth="1"/>
    <col min="3" max="3" width="12.5703125" style="38" customWidth="1"/>
    <col min="4" max="4" width="9.7109375" style="38" customWidth="1"/>
    <col min="5" max="5" width="16.28515625" style="1" customWidth="1"/>
    <col min="6" max="6" width="9.140625" style="38" customWidth="1"/>
    <col min="7" max="7" width="10" style="38" customWidth="1"/>
    <col min="8" max="8" width="7.5703125" customWidth="1"/>
    <col min="9" max="9" width="16.85546875" customWidth="1"/>
    <col min="10" max="10" width="15.42578125" customWidth="1"/>
    <col min="11" max="11" width="16" customWidth="1"/>
    <col min="12" max="12" width="14.7109375" customWidth="1"/>
    <col min="13" max="14" width="15.28515625" customWidth="1"/>
    <col min="15" max="15" width="14.7109375" customWidth="1"/>
    <col min="257" max="257" width="7.28515625" customWidth="1"/>
    <col min="258" max="258" width="24.85546875" customWidth="1"/>
    <col min="264" max="264" width="14.140625" customWidth="1"/>
    <col min="513" max="513" width="7.28515625" customWidth="1"/>
    <col min="514" max="514" width="24.85546875" customWidth="1"/>
    <col min="520" max="520" width="14.140625" customWidth="1"/>
    <col min="769" max="769" width="7.28515625" customWidth="1"/>
    <col min="770" max="770" width="24.85546875" customWidth="1"/>
    <col min="776" max="776" width="14.140625" customWidth="1"/>
    <col min="1025" max="1025" width="7.28515625" customWidth="1"/>
    <col min="1026" max="1026" width="24.85546875" customWidth="1"/>
    <col min="1032" max="1032" width="14.140625" customWidth="1"/>
    <col min="1281" max="1281" width="7.28515625" customWidth="1"/>
    <col min="1282" max="1282" width="24.85546875" customWidth="1"/>
    <col min="1288" max="1288" width="14.140625" customWidth="1"/>
    <col min="1537" max="1537" width="7.28515625" customWidth="1"/>
    <col min="1538" max="1538" width="24.85546875" customWidth="1"/>
    <col min="1544" max="1544" width="14.140625" customWidth="1"/>
    <col min="1793" max="1793" width="7.28515625" customWidth="1"/>
    <col min="1794" max="1794" width="24.85546875" customWidth="1"/>
    <col min="1800" max="1800" width="14.140625" customWidth="1"/>
    <col min="2049" max="2049" width="7.28515625" customWidth="1"/>
    <col min="2050" max="2050" width="24.85546875" customWidth="1"/>
    <col min="2056" max="2056" width="14.140625" customWidth="1"/>
    <col min="2305" max="2305" width="7.28515625" customWidth="1"/>
    <col min="2306" max="2306" width="24.85546875" customWidth="1"/>
    <col min="2312" max="2312" width="14.140625" customWidth="1"/>
    <col min="2561" max="2561" width="7.28515625" customWidth="1"/>
    <col min="2562" max="2562" width="24.85546875" customWidth="1"/>
    <col min="2568" max="2568" width="14.140625" customWidth="1"/>
    <col min="2817" max="2817" width="7.28515625" customWidth="1"/>
    <col min="2818" max="2818" width="24.85546875" customWidth="1"/>
    <col min="2824" max="2824" width="14.140625" customWidth="1"/>
    <col min="3073" max="3073" width="7.28515625" customWidth="1"/>
    <col min="3074" max="3074" width="24.85546875" customWidth="1"/>
    <col min="3080" max="3080" width="14.140625" customWidth="1"/>
    <col min="3329" max="3329" width="7.28515625" customWidth="1"/>
    <col min="3330" max="3330" width="24.85546875" customWidth="1"/>
    <col min="3336" max="3336" width="14.140625" customWidth="1"/>
    <col min="3585" max="3585" width="7.28515625" customWidth="1"/>
    <col min="3586" max="3586" width="24.85546875" customWidth="1"/>
    <col min="3592" max="3592" width="14.140625" customWidth="1"/>
    <col min="3841" max="3841" width="7.28515625" customWidth="1"/>
    <col min="3842" max="3842" width="24.85546875" customWidth="1"/>
    <col min="3848" max="3848" width="14.140625" customWidth="1"/>
    <col min="4097" max="4097" width="7.28515625" customWidth="1"/>
    <col min="4098" max="4098" width="24.85546875" customWidth="1"/>
    <col min="4104" max="4104" width="14.140625" customWidth="1"/>
    <col min="4353" max="4353" width="7.28515625" customWidth="1"/>
    <col min="4354" max="4354" width="24.85546875" customWidth="1"/>
    <col min="4360" max="4360" width="14.140625" customWidth="1"/>
    <col min="4609" max="4609" width="7.28515625" customWidth="1"/>
    <col min="4610" max="4610" width="24.85546875" customWidth="1"/>
    <col min="4616" max="4616" width="14.140625" customWidth="1"/>
    <col min="4865" max="4865" width="7.28515625" customWidth="1"/>
    <col min="4866" max="4866" width="24.85546875" customWidth="1"/>
    <col min="4872" max="4872" width="14.140625" customWidth="1"/>
    <col min="5121" max="5121" width="7.28515625" customWidth="1"/>
    <col min="5122" max="5122" width="24.85546875" customWidth="1"/>
    <col min="5128" max="5128" width="14.140625" customWidth="1"/>
    <col min="5377" max="5377" width="7.28515625" customWidth="1"/>
    <col min="5378" max="5378" width="24.85546875" customWidth="1"/>
    <col min="5384" max="5384" width="14.140625" customWidth="1"/>
    <col min="5633" max="5633" width="7.28515625" customWidth="1"/>
    <col min="5634" max="5634" width="24.85546875" customWidth="1"/>
    <col min="5640" max="5640" width="14.140625" customWidth="1"/>
    <col min="5889" max="5889" width="7.28515625" customWidth="1"/>
    <col min="5890" max="5890" width="24.85546875" customWidth="1"/>
    <col min="5896" max="5896" width="14.140625" customWidth="1"/>
    <col min="6145" max="6145" width="7.28515625" customWidth="1"/>
    <col min="6146" max="6146" width="24.85546875" customWidth="1"/>
    <col min="6152" max="6152" width="14.140625" customWidth="1"/>
    <col min="6401" max="6401" width="7.28515625" customWidth="1"/>
    <col min="6402" max="6402" width="24.85546875" customWidth="1"/>
    <col min="6408" max="6408" width="14.140625" customWidth="1"/>
    <col min="6657" max="6657" width="7.28515625" customWidth="1"/>
    <col min="6658" max="6658" width="24.85546875" customWidth="1"/>
    <col min="6664" max="6664" width="14.140625" customWidth="1"/>
    <col min="6913" max="6913" width="7.28515625" customWidth="1"/>
    <col min="6914" max="6914" width="24.85546875" customWidth="1"/>
    <col min="6920" max="6920" width="14.140625" customWidth="1"/>
    <col min="7169" max="7169" width="7.28515625" customWidth="1"/>
    <col min="7170" max="7170" width="24.85546875" customWidth="1"/>
    <col min="7176" max="7176" width="14.140625" customWidth="1"/>
    <col min="7425" max="7425" width="7.28515625" customWidth="1"/>
    <col min="7426" max="7426" width="24.85546875" customWidth="1"/>
    <col min="7432" max="7432" width="14.140625" customWidth="1"/>
    <col min="7681" max="7681" width="7.28515625" customWidth="1"/>
    <col min="7682" max="7682" width="24.85546875" customWidth="1"/>
    <col min="7688" max="7688" width="14.140625" customWidth="1"/>
    <col min="7937" max="7937" width="7.28515625" customWidth="1"/>
    <col min="7938" max="7938" width="24.85546875" customWidth="1"/>
    <col min="7944" max="7944" width="14.140625" customWidth="1"/>
    <col min="8193" max="8193" width="7.28515625" customWidth="1"/>
    <col min="8194" max="8194" width="24.85546875" customWidth="1"/>
    <col min="8200" max="8200" width="14.140625" customWidth="1"/>
    <col min="8449" max="8449" width="7.28515625" customWidth="1"/>
    <col min="8450" max="8450" width="24.85546875" customWidth="1"/>
    <col min="8456" max="8456" width="14.140625" customWidth="1"/>
    <col min="8705" max="8705" width="7.28515625" customWidth="1"/>
    <col min="8706" max="8706" width="24.85546875" customWidth="1"/>
    <col min="8712" max="8712" width="14.140625" customWidth="1"/>
    <col min="8961" max="8961" width="7.28515625" customWidth="1"/>
    <col min="8962" max="8962" width="24.85546875" customWidth="1"/>
    <col min="8968" max="8968" width="14.140625" customWidth="1"/>
    <col min="9217" max="9217" width="7.28515625" customWidth="1"/>
    <col min="9218" max="9218" width="24.85546875" customWidth="1"/>
    <col min="9224" max="9224" width="14.140625" customWidth="1"/>
    <col min="9473" max="9473" width="7.28515625" customWidth="1"/>
    <col min="9474" max="9474" width="24.85546875" customWidth="1"/>
    <col min="9480" max="9480" width="14.140625" customWidth="1"/>
    <col min="9729" max="9729" width="7.28515625" customWidth="1"/>
    <col min="9730" max="9730" width="24.85546875" customWidth="1"/>
    <col min="9736" max="9736" width="14.140625" customWidth="1"/>
    <col min="9985" max="9985" width="7.28515625" customWidth="1"/>
    <col min="9986" max="9986" width="24.85546875" customWidth="1"/>
    <col min="9992" max="9992" width="14.140625" customWidth="1"/>
    <col min="10241" max="10241" width="7.28515625" customWidth="1"/>
    <col min="10242" max="10242" width="24.85546875" customWidth="1"/>
    <col min="10248" max="10248" width="14.140625" customWidth="1"/>
    <col min="10497" max="10497" width="7.28515625" customWidth="1"/>
    <col min="10498" max="10498" width="24.85546875" customWidth="1"/>
    <col min="10504" max="10504" width="14.140625" customWidth="1"/>
    <col min="10753" max="10753" width="7.28515625" customWidth="1"/>
    <col min="10754" max="10754" width="24.85546875" customWidth="1"/>
    <col min="10760" max="10760" width="14.140625" customWidth="1"/>
    <col min="11009" max="11009" width="7.28515625" customWidth="1"/>
    <col min="11010" max="11010" width="24.85546875" customWidth="1"/>
    <col min="11016" max="11016" width="14.140625" customWidth="1"/>
    <col min="11265" max="11265" width="7.28515625" customWidth="1"/>
    <col min="11266" max="11266" width="24.85546875" customWidth="1"/>
    <col min="11272" max="11272" width="14.140625" customWidth="1"/>
    <col min="11521" max="11521" width="7.28515625" customWidth="1"/>
    <col min="11522" max="11522" width="24.85546875" customWidth="1"/>
    <col min="11528" max="11528" width="14.140625" customWidth="1"/>
    <col min="11777" max="11777" width="7.28515625" customWidth="1"/>
    <col min="11778" max="11778" width="24.85546875" customWidth="1"/>
    <col min="11784" max="11784" width="14.140625" customWidth="1"/>
    <col min="12033" max="12033" width="7.28515625" customWidth="1"/>
    <col min="12034" max="12034" width="24.85546875" customWidth="1"/>
    <col min="12040" max="12040" width="14.140625" customWidth="1"/>
    <col min="12289" max="12289" width="7.28515625" customWidth="1"/>
    <col min="12290" max="12290" width="24.85546875" customWidth="1"/>
    <col min="12296" max="12296" width="14.140625" customWidth="1"/>
    <col min="12545" max="12545" width="7.28515625" customWidth="1"/>
    <col min="12546" max="12546" width="24.85546875" customWidth="1"/>
    <col min="12552" max="12552" width="14.140625" customWidth="1"/>
    <col min="12801" max="12801" width="7.28515625" customWidth="1"/>
    <col min="12802" max="12802" width="24.85546875" customWidth="1"/>
    <col min="12808" max="12808" width="14.140625" customWidth="1"/>
    <col min="13057" max="13057" width="7.28515625" customWidth="1"/>
    <col min="13058" max="13058" width="24.85546875" customWidth="1"/>
    <col min="13064" max="13064" width="14.140625" customWidth="1"/>
    <col min="13313" max="13313" width="7.28515625" customWidth="1"/>
    <col min="13314" max="13314" width="24.85546875" customWidth="1"/>
    <col min="13320" max="13320" width="14.140625" customWidth="1"/>
    <col min="13569" max="13569" width="7.28515625" customWidth="1"/>
    <col min="13570" max="13570" width="24.85546875" customWidth="1"/>
    <col min="13576" max="13576" width="14.140625" customWidth="1"/>
    <col min="13825" max="13825" width="7.28515625" customWidth="1"/>
    <col min="13826" max="13826" width="24.85546875" customWidth="1"/>
    <col min="13832" max="13832" width="14.140625" customWidth="1"/>
    <col min="14081" max="14081" width="7.28515625" customWidth="1"/>
    <col min="14082" max="14082" width="24.85546875" customWidth="1"/>
    <col min="14088" max="14088" width="14.140625" customWidth="1"/>
    <col min="14337" max="14337" width="7.28515625" customWidth="1"/>
    <col min="14338" max="14338" width="24.85546875" customWidth="1"/>
    <col min="14344" max="14344" width="14.140625" customWidth="1"/>
    <col min="14593" max="14593" width="7.28515625" customWidth="1"/>
    <col min="14594" max="14594" width="24.85546875" customWidth="1"/>
    <col min="14600" max="14600" width="14.140625" customWidth="1"/>
    <col min="14849" max="14849" width="7.28515625" customWidth="1"/>
    <col min="14850" max="14850" width="24.85546875" customWidth="1"/>
    <col min="14856" max="14856" width="14.140625" customWidth="1"/>
    <col min="15105" max="15105" width="7.28515625" customWidth="1"/>
    <col min="15106" max="15106" width="24.85546875" customWidth="1"/>
    <col min="15112" max="15112" width="14.140625" customWidth="1"/>
    <col min="15361" max="15361" width="7.28515625" customWidth="1"/>
    <col min="15362" max="15362" width="24.85546875" customWidth="1"/>
    <col min="15368" max="15368" width="14.140625" customWidth="1"/>
    <col min="15617" max="15617" width="7.28515625" customWidth="1"/>
    <col min="15618" max="15618" width="24.85546875" customWidth="1"/>
    <col min="15624" max="15624" width="14.140625" customWidth="1"/>
    <col min="15873" max="15873" width="7.28515625" customWidth="1"/>
    <col min="15874" max="15874" width="24.85546875" customWidth="1"/>
    <col min="15880" max="15880" width="14.140625" customWidth="1"/>
    <col min="16129" max="16129" width="7.28515625" customWidth="1"/>
    <col min="16130" max="16130" width="24.85546875" customWidth="1"/>
    <col min="16136" max="16136" width="14.140625" customWidth="1"/>
  </cols>
  <sheetData>
    <row r="2" spans="1:16" ht="15.75">
      <c r="B2" s="46" t="s">
        <v>190</v>
      </c>
      <c r="C2" s="46"/>
      <c r="D2" s="46"/>
      <c r="E2" s="46"/>
      <c r="F2" s="46"/>
      <c r="G2" s="46"/>
      <c r="H2" s="46"/>
      <c r="I2" s="46"/>
    </row>
    <row r="3" spans="1:16" ht="16.5" customHeight="1"/>
    <row r="4" spans="1:16">
      <c r="A4" s="42" t="s">
        <v>0</v>
      </c>
      <c r="B4" s="43" t="s">
        <v>1</v>
      </c>
      <c r="C4" s="42" t="s">
        <v>2</v>
      </c>
      <c r="D4" s="42" t="s">
        <v>3</v>
      </c>
      <c r="E4" s="43" t="s">
        <v>4</v>
      </c>
      <c r="F4" s="42" t="s">
        <v>5</v>
      </c>
      <c r="G4" s="42" t="s">
        <v>6</v>
      </c>
      <c r="H4" s="43" t="s">
        <v>7</v>
      </c>
      <c r="I4" s="43" t="s">
        <v>8</v>
      </c>
      <c r="J4" s="43"/>
      <c r="K4" s="43"/>
      <c r="L4" s="43"/>
      <c r="M4" s="43"/>
      <c r="N4" s="43"/>
      <c r="O4" s="43"/>
    </row>
    <row r="5" spans="1:16">
      <c r="A5" s="42"/>
      <c r="B5" s="43"/>
      <c r="C5" s="42"/>
      <c r="D5" s="42"/>
      <c r="E5" s="43"/>
      <c r="F5" s="42"/>
      <c r="G5" s="42"/>
      <c r="H5" s="43"/>
      <c r="I5" s="43" t="s">
        <v>9</v>
      </c>
      <c r="J5" s="43"/>
      <c r="K5" s="43"/>
      <c r="L5" s="43"/>
      <c r="M5" s="43"/>
      <c r="N5" s="39" t="s">
        <v>10</v>
      </c>
      <c r="O5" s="39" t="s">
        <v>11</v>
      </c>
    </row>
    <row r="6" spans="1:16">
      <c r="A6" s="42"/>
      <c r="B6" s="43"/>
      <c r="C6" s="42"/>
      <c r="D6" s="42"/>
      <c r="E6" s="43"/>
      <c r="F6" s="42"/>
      <c r="G6" s="42"/>
      <c r="H6" s="43"/>
      <c r="I6" s="43"/>
      <c r="J6" s="43"/>
      <c r="K6" s="43"/>
      <c r="L6" s="43"/>
      <c r="M6" s="43"/>
      <c r="N6" s="39" t="s">
        <v>12</v>
      </c>
      <c r="O6" s="39" t="s">
        <v>13</v>
      </c>
    </row>
    <row r="7" spans="1:16">
      <c r="A7" s="42"/>
      <c r="B7" s="43"/>
      <c r="C7" s="42"/>
      <c r="D7" s="42"/>
      <c r="E7" s="43"/>
      <c r="F7" s="42"/>
      <c r="G7" s="42"/>
      <c r="H7" s="43"/>
      <c r="I7" s="43" t="s">
        <v>14</v>
      </c>
      <c r="J7" s="43" t="s">
        <v>15</v>
      </c>
      <c r="K7" s="43"/>
      <c r="L7" s="43"/>
      <c r="M7" s="43"/>
      <c r="N7" s="39" t="s">
        <v>16</v>
      </c>
      <c r="O7" s="39" t="s">
        <v>17</v>
      </c>
    </row>
    <row r="8" spans="1:16">
      <c r="A8" s="42"/>
      <c r="B8" s="43"/>
      <c r="C8" s="42"/>
      <c r="D8" s="42"/>
      <c r="E8" s="43"/>
      <c r="F8" s="42"/>
      <c r="G8" s="42"/>
      <c r="H8" s="43"/>
      <c r="I8" s="43"/>
      <c r="J8" s="39" t="s">
        <v>18</v>
      </c>
      <c r="K8" s="39" t="s">
        <v>19</v>
      </c>
      <c r="L8" s="39" t="s">
        <v>20</v>
      </c>
      <c r="M8" s="39" t="s">
        <v>21</v>
      </c>
      <c r="N8" s="2"/>
      <c r="O8" s="39" t="s">
        <v>22</v>
      </c>
    </row>
    <row r="9" spans="1:16">
      <c r="A9" s="42"/>
      <c r="B9" s="43"/>
      <c r="C9" s="42"/>
      <c r="D9" s="42"/>
      <c r="E9" s="43"/>
      <c r="F9" s="42"/>
      <c r="G9" s="42"/>
      <c r="H9" s="43"/>
      <c r="I9" s="43"/>
      <c r="J9" s="39" t="s">
        <v>23</v>
      </c>
      <c r="K9" s="39" t="s">
        <v>23</v>
      </c>
      <c r="L9" s="39" t="s">
        <v>23</v>
      </c>
      <c r="M9" s="39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31</v>
      </c>
      <c r="C11" s="3" t="s">
        <v>26</v>
      </c>
      <c r="D11" s="3"/>
      <c r="E11" s="5" t="s">
        <v>32</v>
      </c>
      <c r="F11" s="3" t="s">
        <v>28</v>
      </c>
      <c r="G11" s="3" t="s">
        <v>28</v>
      </c>
      <c r="H11" s="8">
        <v>0</v>
      </c>
      <c r="I11" s="6">
        <f t="shared" ref="I11:O11" si="0">I13+I18+I26+I27</f>
        <v>9377710</v>
      </c>
      <c r="J11" s="6">
        <f t="shared" si="0"/>
        <v>9377710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7247015.2265447993</v>
      </c>
      <c r="O11" s="8">
        <f t="shared" si="0"/>
        <v>6710260.2403620007</v>
      </c>
      <c r="P11" s="7"/>
    </row>
    <row r="12" spans="1:16" ht="15.75">
      <c r="A12" s="3"/>
      <c r="B12" s="4" t="s">
        <v>33</v>
      </c>
      <c r="C12" s="3"/>
      <c r="D12" s="3"/>
      <c r="E12" s="5"/>
      <c r="F12" s="3"/>
      <c r="G12" s="3"/>
      <c r="H12" s="8"/>
      <c r="I12" s="6"/>
      <c r="J12" s="6"/>
      <c r="K12" s="8"/>
      <c r="L12" s="8"/>
      <c r="M12" s="8"/>
      <c r="N12" s="8"/>
      <c r="O12" s="8"/>
      <c r="P12" s="7"/>
    </row>
    <row r="13" spans="1:16" ht="63">
      <c r="A13" s="3" t="s">
        <v>34</v>
      </c>
      <c r="B13" s="4" t="s">
        <v>35</v>
      </c>
      <c r="C13" s="3" t="s">
        <v>36</v>
      </c>
      <c r="D13" s="3"/>
      <c r="E13" s="5" t="s">
        <v>32</v>
      </c>
      <c r="F13" s="3" t="s">
        <v>37</v>
      </c>
      <c r="G13" s="3" t="s">
        <v>28</v>
      </c>
      <c r="H13" s="8">
        <v>0</v>
      </c>
      <c r="I13" s="6">
        <f>J13+K13+L13+M13</f>
        <v>7658347</v>
      </c>
      <c r="J13" s="6">
        <f t="shared" ref="J13:O13" si="1">J15+J17+J16</f>
        <v>7658347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6960028.6975379996</v>
      </c>
      <c r="O13" s="8">
        <f t="shared" si="1"/>
        <v>6444529.5588450003</v>
      </c>
      <c r="P13" s="7"/>
    </row>
    <row r="14" spans="1:16" ht="15.75">
      <c r="A14" s="3"/>
      <c r="B14" s="4" t="s">
        <v>33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s="15" customFormat="1" ht="87.75" customHeight="1">
      <c r="A15" s="9" t="s">
        <v>38</v>
      </c>
      <c r="B15" s="10" t="s">
        <v>39</v>
      </c>
      <c r="C15" s="9" t="s">
        <v>36</v>
      </c>
      <c r="D15" s="9" t="s">
        <v>40</v>
      </c>
      <c r="E15" s="11" t="s">
        <v>32</v>
      </c>
      <c r="F15" s="9" t="s">
        <v>37</v>
      </c>
      <c r="G15" s="9" t="s">
        <v>28</v>
      </c>
      <c r="H15" s="12">
        <v>0</v>
      </c>
      <c r="I15" s="13">
        <f>I35+I39+I41+I46+I48+I49+I63+I76+I80+I68+I42+I75</f>
        <v>4799265</v>
      </c>
      <c r="J15" s="13">
        <f>J35+J39+J41+J46+J48+J49+J63+J76+J80+J68+J42+J75</f>
        <v>4799265</v>
      </c>
      <c r="K15" s="13">
        <f t="shared" ref="K15:M15" si="2">K35+K39+K41+K46+K48+K49+K63+K76+K80+K68+K42</f>
        <v>0</v>
      </c>
      <c r="L15" s="13">
        <f t="shared" si="2"/>
        <v>0</v>
      </c>
      <c r="M15" s="13">
        <f t="shared" si="2"/>
        <v>0</v>
      </c>
      <c r="N15" s="12">
        <f>I15*0.8938636</f>
        <v>4289888.2902539996</v>
      </c>
      <c r="O15" s="12">
        <f>I15*0.827659</f>
        <v>3972154.8706350001</v>
      </c>
      <c r="P15" s="14"/>
    </row>
    <row r="16" spans="1:16" s="22" customFormat="1" ht="87" customHeight="1">
      <c r="A16" s="16" t="s">
        <v>41</v>
      </c>
      <c r="B16" s="17" t="s">
        <v>42</v>
      </c>
      <c r="C16" s="16" t="s">
        <v>36</v>
      </c>
      <c r="D16" s="16" t="s">
        <v>75</v>
      </c>
      <c r="E16" s="18" t="s">
        <v>32</v>
      </c>
      <c r="F16" s="16" t="s">
        <v>37</v>
      </c>
      <c r="G16" s="16" t="s">
        <v>28</v>
      </c>
      <c r="H16" s="19">
        <v>0</v>
      </c>
      <c r="I16" s="20">
        <f>I36+I43+I47+I50+I58+I64+I77+I40+I81+I75</f>
        <v>2987190</v>
      </c>
      <c r="J16" s="20">
        <f>J36+J43+J47+J50+J58+J64+J77+J40+J81</f>
        <v>2859082</v>
      </c>
      <c r="K16" s="20">
        <f>K36+K43+K47+K50+K58+K64+K77+K40+K81+K75</f>
        <v>0</v>
      </c>
      <c r="L16" s="20">
        <f>L36+L43+L47+L50+L58+L64+L77+L40+L81+L75</f>
        <v>0</v>
      </c>
      <c r="M16" s="20">
        <f>M36+M43+M47+M50+M58+M64+M77+M40+M81+M75</f>
        <v>0</v>
      </c>
      <c r="N16" s="19">
        <f>I16*0.8938636</f>
        <v>2670140.407284</v>
      </c>
      <c r="O16" s="19">
        <f>I16*0.827659</f>
        <v>2472374.6882100003</v>
      </c>
      <c r="P16" s="21"/>
    </row>
    <row r="17" spans="1:16" ht="126">
      <c r="A17" s="3" t="s">
        <v>43</v>
      </c>
      <c r="B17" s="4" t="s">
        <v>189</v>
      </c>
      <c r="C17" s="3" t="s">
        <v>36</v>
      </c>
      <c r="D17" s="3" t="s">
        <v>188</v>
      </c>
      <c r="E17" s="5" t="s">
        <v>32</v>
      </c>
      <c r="F17" s="3" t="s">
        <v>37</v>
      </c>
      <c r="G17" s="3" t="s">
        <v>28</v>
      </c>
      <c r="H17" s="8">
        <f>I17+N17+O17</f>
        <v>0</v>
      </c>
      <c r="I17" s="6">
        <f>J17+K17+L17+M17</f>
        <v>0</v>
      </c>
      <c r="J17" s="6">
        <v>0</v>
      </c>
      <c r="K17" s="6">
        <v>0</v>
      </c>
      <c r="L17" s="6">
        <v>0</v>
      </c>
      <c r="M17" s="6">
        <v>0</v>
      </c>
      <c r="N17" s="8">
        <f>I17*0.8938636</f>
        <v>0</v>
      </c>
      <c r="O17" s="8">
        <f>I17*0.827659</f>
        <v>0</v>
      </c>
      <c r="P17" s="7"/>
    </row>
    <row r="18" spans="1:16" ht="15.75">
      <c r="A18" s="3" t="s">
        <v>44</v>
      </c>
      <c r="B18" s="4" t="s">
        <v>45</v>
      </c>
      <c r="C18" s="3" t="s">
        <v>46</v>
      </c>
      <c r="D18" s="3"/>
      <c r="E18" s="5" t="s">
        <v>32</v>
      </c>
      <c r="F18" s="3" t="s">
        <v>37</v>
      </c>
      <c r="G18" s="3" t="s">
        <v>28</v>
      </c>
      <c r="H18" s="6">
        <v>0</v>
      </c>
      <c r="I18" s="6">
        <f>I20+I21+I22+I23+I24+I25</f>
        <v>1615363</v>
      </c>
      <c r="J18" s="6">
        <f>J20+J21+J22+J23+J24+J25</f>
        <v>1615363</v>
      </c>
      <c r="K18" s="6">
        <f t="shared" ref="K18:M18" si="3">K20+K21+K22+K23</f>
        <v>0</v>
      </c>
      <c r="L18" s="6">
        <f t="shared" si="3"/>
        <v>0</v>
      </c>
      <c r="M18" s="6">
        <f t="shared" si="3"/>
        <v>0</v>
      </c>
      <c r="N18" s="6">
        <f>SUM(N20:N23)</f>
        <v>194024.7146068</v>
      </c>
      <c r="O18" s="6">
        <f>SUM(O20:O23)</f>
        <v>179654.145517</v>
      </c>
      <c r="P18" s="7"/>
    </row>
    <row r="19" spans="1:16" ht="15.75">
      <c r="A19" s="3"/>
      <c r="B19" s="4" t="s">
        <v>33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s="15" customFormat="1" ht="68.25" customHeight="1">
      <c r="A20" s="9" t="s">
        <v>47</v>
      </c>
      <c r="B20" s="35" t="s">
        <v>196</v>
      </c>
      <c r="C20" s="9" t="s">
        <v>46</v>
      </c>
      <c r="D20" s="9" t="s">
        <v>75</v>
      </c>
      <c r="E20" s="11" t="s">
        <v>182</v>
      </c>
      <c r="F20" s="9" t="s">
        <v>37</v>
      </c>
      <c r="G20" s="9" t="s">
        <v>28</v>
      </c>
      <c r="H20" s="13">
        <v>0</v>
      </c>
      <c r="I20" s="13">
        <f>J20+K20+L20+M20</f>
        <v>64600</v>
      </c>
      <c r="J20" s="13">
        <f>64600</f>
        <v>64600</v>
      </c>
      <c r="K20" s="13">
        <v>0</v>
      </c>
      <c r="L20" s="13">
        <v>0</v>
      </c>
      <c r="M20" s="13">
        <v>0</v>
      </c>
      <c r="N20" s="12">
        <f>I20*0.8938636</f>
        <v>57743.588559999997</v>
      </c>
      <c r="O20" s="12">
        <f>I20*0.827659</f>
        <v>53466.771400000005</v>
      </c>
      <c r="P20" s="14"/>
    </row>
    <row r="21" spans="1:16" s="15" customFormat="1" ht="75" customHeight="1">
      <c r="A21" s="9" t="s">
        <v>48</v>
      </c>
      <c r="B21" s="10" t="s">
        <v>197</v>
      </c>
      <c r="C21" s="9" t="s">
        <v>46</v>
      </c>
      <c r="D21" s="9" t="s">
        <v>49</v>
      </c>
      <c r="E21" s="11" t="s">
        <v>183</v>
      </c>
      <c r="F21" s="9" t="s">
        <v>37</v>
      </c>
      <c r="G21" s="9" t="s">
        <v>28</v>
      </c>
      <c r="H21" s="13">
        <v>0</v>
      </c>
      <c r="I21" s="13">
        <f t="shared" ref="I21:I27" si="4">J21+K21+L21+M21</f>
        <v>90440</v>
      </c>
      <c r="J21" s="13">
        <f>103360-12920</f>
        <v>90440</v>
      </c>
      <c r="K21" s="13">
        <v>0</v>
      </c>
      <c r="L21" s="13">
        <v>0</v>
      </c>
      <c r="M21" s="13">
        <v>0</v>
      </c>
      <c r="N21" s="12">
        <f>I21*0.8938636</f>
        <v>80841.023983999999</v>
      </c>
      <c r="O21" s="12">
        <f>I21*0.827659</f>
        <v>74853.479959999997</v>
      </c>
      <c r="P21" s="14"/>
    </row>
    <row r="22" spans="1:16" ht="42" customHeight="1">
      <c r="A22" s="3" t="s">
        <v>50</v>
      </c>
      <c r="B22" s="4" t="s">
        <v>186</v>
      </c>
      <c r="C22" s="3" t="s">
        <v>46</v>
      </c>
      <c r="D22" s="25" t="s">
        <v>75</v>
      </c>
      <c r="E22" s="5" t="s">
        <v>187</v>
      </c>
      <c r="F22" s="3" t="s">
        <v>37</v>
      </c>
      <c r="G22" s="3" t="s">
        <v>28</v>
      </c>
      <c r="H22" s="6">
        <v>0</v>
      </c>
      <c r="I22" s="6">
        <f t="shared" si="4"/>
        <v>0</v>
      </c>
      <c r="J22" s="6"/>
      <c r="K22" s="6">
        <v>0</v>
      </c>
      <c r="L22" s="6"/>
      <c r="M22" s="6">
        <v>0</v>
      </c>
      <c r="N22" s="6">
        <v>0</v>
      </c>
      <c r="O22" s="6">
        <v>0</v>
      </c>
      <c r="P22" s="7"/>
    </row>
    <row r="23" spans="1:16" s="15" customFormat="1" ht="48.75" customHeight="1">
      <c r="A23" s="9" t="s">
        <v>51</v>
      </c>
      <c r="B23" s="36" t="s">
        <v>198</v>
      </c>
      <c r="C23" s="24" t="s">
        <v>46</v>
      </c>
      <c r="D23" s="24" t="s">
        <v>75</v>
      </c>
      <c r="E23" s="37" t="s">
        <v>184</v>
      </c>
      <c r="F23" s="24" t="s">
        <v>37</v>
      </c>
      <c r="G23" s="9" t="s">
        <v>28</v>
      </c>
      <c r="H23" s="13">
        <v>0</v>
      </c>
      <c r="I23" s="13">
        <f>J23+K23+L23+M23</f>
        <v>62023</v>
      </c>
      <c r="J23" s="13">
        <v>62023</v>
      </c>
      <c r="K23" s="13">
        <v>0</v>
      </c>
      <c r="L23" s="13">
        <v>0</v>
      </c>
      <c r="M23" s="13">
        <v>0</v>
      </c>
      <c r="N23" s="12">
        <f>I23*0.8938636</f>
        <v>55440.102062799997</v>
      </c>
      <c r="O23" s="12">
        <f>I23*0.827659</f>
        <v>51333.894157000002</v>
      </c>
      <c r="P23" s="14"/>
    </row>
    <row r="24" spans="1:16" s="15" customFormat="1" ht="118.5" customHeight="1">
      <c r="A24" s="9" t="s">
        <v>52</v>
      </c>
      <c r="B24" s="10" t="s">
        <v>191</v>
      </c>
      <c r="C24" s="9" t="s">
        <v>46</v>
      </c>
      <c r="D24" s="9" t="s">
        <v>75</v>
      </c>
      <c r="E24" s="11" t="s">
        <v>192</v>
      </c>
      <c r="F24" s="9" t="s">
        <v>37</v>
      </c>
      <c r="G24" s="9" t="s">
        <v>28</v>
      </c>
      <c r="H24" s="13">
        <v>0</v>
      </c>
      <c r="I24" s="13">
        <f t="shared" ref="I24:I25" si="5">J24+K24+L24+M24</f>
        <v>449200</v>
      </c>
      <c r="J24" s="13">
        <f>477700-28500</f>
        <v>449200</v>
      </c>
      <c r="K24" s="13">
        <v>0</v>
      </c>
      <c r="L24" s="13">
        <v>0</v>
      </c>
      <c r="M24" s="13">
        <v>0</v>
      </c>
      <c r="N24" s="12">
        <f>I24*0.8938636</f>
        <v>401523.52911999996</v>
      </c>
      <c r="O24" s="12">
        <f>I24*0.827659</f>
        <v>371784.4228</v>
      </c>
      <c r="P24" s="14"/>
    </row>
    <row r="25" spans="1:16" s="15" customFormat="1" ht="101.25" customHeight="1">
      <c r="A25" s="9" t="s">
        <v>53</v>
      </c>
      <c r="B25" s="10" t="s">
        <v>193</v>
      </c>
      <c r="C25" s="9" t="s">
        <v>46</v>
      </c>
      <c r="D25" s="9" t="s">
        <v>194</v>
      </c>
      <c r="E25" s="11" t="s">
        <v>195</v>
      </c>
      <c r="F25" s="9" t="s">
        <v>37</v>
      </c>
      <c r="G25" s="9" t="s">
        <v>28</v>
      </c>
      <c r="H25" s="13">
        <v>0</v>
      </c>
      <c r="I25" s="13">
        <f t="shared" si="5"/>
        <v>949100</v>
      </c>
      <c r="J25" s="13">
        <f>955600-6500</f>
        <v>949100</v>
      </c>
      <c r="K25" s="13">
        <v>0</v>
      </c>
      <c r="L25" s="13">
        <v>0</v>
      </c>
      <c r="M25" s="13">
        <v>0</v>
      </c>
      <c r="N25" s="12">
        <f>I25*0.8938636</f>
        <v>848365.94276000001</v>
      </c>
      <c r="O25" s="12">
        <f>I25*0.827659</f>
        <v>785531.15690000006</v>
      </c>
      <c r="P25" s="14"/>
    </row>
    <row r="26" spans="1:16" ht="31.5">
      <c r="A26" s="3" t="s">
        <v>54</v>
      </c>
      <c r="B26" s="4" t="s">
        <v>55</v>
      </c>
      <c r="C26" s="3" t="s">
        <v>28</v>
      </c>
      <c r="D26" s="3" t="s">
        <v>28</v>
      </c>
      <c r="E26" s="3" t="s">
        <v>28</v>
      </c>
      <c r="F26" s="3" t="s">
        <v>28</v>
      </c>
      <c r="G26" s="3" t="s">
        <v>28</v>
      </c>
      <c r="H26" s="6">
        <f t="shared" ref="H26" si="6">I26+N26+O26</f>
        <v>0</v>
      </c>
      <c r="I26" s="6">
        <f t="shared" si="4"/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ref="N26:N27" si="7">I26*0.8938636</f>
        <v>0</v>
      </c>
      <c r="O26" s="6">
        <f t="shared" ref="O26:O27" si="8">I26*0.827659</f>
        <v>0</v>
      </c>
      <c r="P26" s="7"/>
    </row>
    <row r="27" spans="1:16" ht="202.5" customHeight="1">
      <c r="A27" s="3" t="s">
        <v>56</v>
      </c>
      <c r="B27" s="4" t="s">
        <v>57</v>
      </c>
      <c r="C27" s="3" t="s">
        <v>161</v>
      </c>
      <c r="D27" s="3" t="s">
        <v>185</v>
      </c>
      <c r="E27" s="5" t="s">
        <v>27</v>
      </c>
      <c r="F27" s="3" t="s">
        <v>37</v>
      </c>
      <c r="G27" s="3" t="s">
        <v>28</v>
      </c>
      <c r="H27" s="6">
        <v>0</v>
      </c>
      <c r="I27" s="6">
        <f t="shared" si="4"/>
        <v>104000</v>
      </c>
      <c r="J27" s="6">
        <v>104000</v>
      </c>
      <c r="K27" s="6">
        <v>0</v>
      </c>
      <c r="L27" s="6">
        <v>0</v>
      </c>
      <c r="M27" s="6">
        <v>0</v>
      </c>
      <c r="N27" s="6">
        <f t="shared" si="7"/>
        <v>92961.814400000003</v>
      </c>
      <c r="O27" s="6">
        <f t="shared" si="8"/>
        <v>86076.536000000007</v>
      </c>
      <c r="P27" s="7"/>
    </row>
    <row r="28" spans="1:16" ht="15.75">
      <c r="A28" s="3" t="s">
        <v>58</v>
      </c>
      <c r="B28" s="4" t="s">
        <v>59</v>
      </c>
      <c r="C28" s="3" t="s">
        <v>28</v>
      </c>
      <c r="D28" s="3" t="s">
        <v>28</v>
      </c>
      <c r="E28" s="3" t="s">
        <v>28</v>
      </c>
      <c r="F28" s="3" t="s">
        <v>28</v>
      </c>
      <c r="G28" s="3" t="s">
        <v>28</v>
      </c>
      <c r="H28" s="6">
        <v>0</v>
      </c>
      <c r="I28" s="6">
        <f>(I30+I89+I82+I90)</f>
        <v>9377710</v>
      </c>
      <c r="J28" s="6">
        <f>J30+J89+J82+J90</f>
        <v>9377710</v>
      </c>
      <c r="K28" s="6">
        <f>(K30+K89+K82+K90)</f>
        <v>0</v>
      </c>
      <c r="L28" s="6">
        <f>(L30+L89+L82+L90)</f>
        <v>0</v>
      </c>
      <c r="M28" s="6">
        <f>(M30+M89+M82+M90)</f>
        <v>0</v>
      </c>
      <c r="N28" s="26">
        <f>I28*0.8938636</f>
        <v>8382393.620356</v>
      </c>
      <c r="O28" s="26">
        <f>I28*0.827659</f>
        <v>7761546.0808899999</v>
      </c>
      <c r="P28" s="7"/>
    </row>
    <row r="29" spans="1:16" ht="15.75">
      <c r="A29" s="3"/>
      <c r="B29" s="4" t="s">
        <v>8</v>
      </c>
      <c r="C29" s="3"/>
      <c r="D29" s="3"/>
      <c r="E29" s="5"/>
      <c r="F29" s="3"/>
      <c r="G29" s="3"/>
      <c r="H29" s="6"/>
      <c r="I29" s="6"/>
      <c r="J29" s="6"/>
      <c r="K29" s="6"/>
      <c r="L29" s="6"/>
      <c r="M29" s="6"/>
      <c r="N29" s="26"/>
      <c r="O29" s="26"/>
      <c r="P29" s="7"/>
    </row>
    <row r="30" spans="1:16" ht="47.25">
      <c r="A30" s="3" t="s">
        <v>60</v>
      </c>
      <c r="B30" s="4" t="s">
        <v>61</v>
      </c>
      <c r="C30" s="3" t="s">
        <v>28</v>
      </c>
      <c r="D30" s="3" t="s">
        <v>28</v>
      </c>
      <c r="E30" s="3" t="s">
        <v>28</v>
      </c>
      <c r="F30" s="3" t="s">
        <v>28</v>
      </c>
      <c r="G30" s="3" t="s">
        <v>28</v>
      </c>
      <c r="H30" s="6">
        <v>0</v>
      </c>
      <c r="I30" s="6">
        <f>J30+K30+L30+M30</f>
        <v>7658347</v>
      </c>
      <c r="J30" s="6">
        <f>J31+J48+J49+J50+J56+J61+J66+J72+J78</f>
        <v>7658347</v>
      </c>
      <c r="K30" s="6">
        <f>K31+K48+K49+K50+K56+K61+K66+K72+K78</f>
        <v>0</v>
      </c>
      <c r="L30" s="6">
        <f>L31+L48+L49+L50+L56+L61+L66+L72+L78</f>
        <v>0</v>
      </c>
      <c r="M30" s="6">
        <f>(M31+M48+M49+M50+M56+M61+M66+M72+M78)</f>
        <v>0</v>
      </c>
      <c r="N30" s="26">
        <f>I30*0.8938636</f>
        <v>6845517.6194692003</v>
      </c>
      <c r="O30" s="26">
        <f>I30*0.827659</f>
        <v>6338499.8196729999</v>
      </c>
      <c r="P30" s="7"/>
    </row>
    <row r="31" spans="1:16" ht="15.75">
      <c r="A31" s="3" t="s">
        <v>62</v>
      </c>
      <c r="B31" s="4" t="s">
        <v>63</v>
      </c>
      <c r="C31" s="3" t="s">
        <v>28</v>
      </c>
      <c r="D31" s="3" t="s">
        <v>28</v>
      </c>
      <c r="E31" s="3" t="s">
        <v>28</v>
      </c>
      <c r="F31" s="3" t="s">
        <v>64</v>
      </c>
      <c r="G31" s="3" t="s">
        <v>28</v>
      </c>
      <c r="H31" s="6">
        <v>0</v>
      </c>
      <c r="I31" s="6">
        <f>J31+K31+L31+M31</f>
        <v>6103373</v>
      </c>
      <c r="J31" s="6">
        <f t="shared" ref="J31:M31" si="9">J33+J37+J44</f>
        <v>6103373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26">
        <f>I31*0.8938636</f>
        <v>5455582.9619228002</v>
      </c>
      <c r="O31" s="26">
        <f>I31*0.827659</f>
        <v>5051511.5938070007</v>
      </c>
      <c r="P31" s="7"/>
    </row>
    <row r="32" spans="1:16" ht="15.75">
      <c r="A32" s="3"/>
      <c r="B32" s="4" t="s">
        <v>8</v>
      </c>
      <c r="C32" s="3" t="s">
        <v>28</v>
      </c>
      <c r="D32" s="3" t="s">
        <v>28</v>
      </c>
      <c r="E32" s="3" t="s">
        <v>28</v>
      </c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15.75">
      <c r="A33" s="3"/>
      <c r="B33" s="4" t="s">
        <v>65</v>
      </c>
      <c r="C33" s="3" t="s">
        <v>36</v>
      </c>
      <c r="D33" s="3" t="s">
        <v>28</v>
      </c>
      <c r="E33" s="3" t="s">
        <v>28</v>
      </c>
      <c r="F33" s="3" t="s">
        <v>66</v>
      </c>
      <c r="G33" s="3" t="s">
        <v>28</v>
      </c>
      <c r="H33" s="6">
        <v>0</v>
      </c>
      <c r="I33" s="6">
        <f>J33+K33+L33+M33</f>
        <v>4830000</v>
      </c>
      <c r="J33" s="6">
        <f>J35+J36</f>
        <v>4830000</v>
      </c>
      <c r="K33" s="6">
        <f>K35+K36</f>
        <v>0</v>
      </c>
      <c r="L33" s="6">
        <f>L35+L36</f>
        <v>0</v>
      </c>
      <c r="M33" s="6">
        <f>M35+M36</f>
        <v>0</v>
      </c>
      <c r="N33" s="6">
        <f>I33*0.8938636</f>
        <v>4317361.1880000001</v>
      </c>
      <c r="O33" s="6">
        <f>I33*0.827659</f>
        <v>3997592.97</v>
      </c>
      <c r="P33" s="7"/>
    </row>
    <row r="34" spans="1:16" ht="15.75">
      <c r="A34" s="3"/>
      <c r="B34" s="4" t="s">
        <v>8</v>
      </c>
      <c r="C34" s="3"/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7"/>
    </row>
    <row r="35" spans="1:16" s="15" customFormat="1" ht="31.5">
      <c r="A35" s="9"/>
      <c r="B35" s="10" t="s">
        <v>67</v>
      </c>
      <c r="C35" s="9" t="s">
        <v>162</v>
      </c>
      <c r="D35" s="9" t="s">
        <v>40</v>
      </c>
      <c r="E35" s="9" t="s">
        <v>28</v>
      </c>
      <c r="F35" s="9" t="s">
        <v>66</v>
      </c>
      <c r="G35" s="9" t="s">
        <v>28</v>
      </c>
      <c r="H35" s="13">
        <v>0</v>
      </c>
      <c r="I35" s="13">
        <f>J35+K35+L35+M35</f>
        <v>3688000</v>
      </c>
      <c r="J35" s="13">
        <v>3688000</v>
      </c>
      <c r="K35" s="13">
        <v>0</v>
      </c>
      <c r="L35" s="13">
        <v>0</v>
      </c>
      <c r="M35" s="13">
        <v>0</v>
      </c>
      <c r="N35" s="13">
        <f>I35*0.8938636</f>
        <v>3296568.9567999998</v>
      </c>
      <c r="O35" s="13">
        <f>I35*0.827659</f>
        <v>3052406.392</v>
      </c>
      <c r="P35" s="14"/>
    </row>
    <row r="36" spans="1:16" s="22" customFormat="1" ht="31.5">
      <c r="A36" s="16"/>
      <c r="B36" s="17" t="s">
        <v>68</v>
      </c>
      <c r="C36" s="16" t="s">
        <v>163</v>
      </c>
      <c r="D36" s="16" t="s">
        <v>75</v>
      </c>
      <c r="E36" s="16" t="s">
        <v>28</v>
      </c>
      <c r="F36" s="16" t="s">
        <v>66</v>
      </c>
      <c r="G36" s="16" t="s">
        <v>28</v>
      </c>
      <c r="H36" s="20">
        <v>0</v>
      </c>
      <c r="I36" s="20">
        <f>J36+K36+L36+M36</f>
        <v>1142000</v>
      </c>
      <c r="J36" s="20">
        <v>1142000</v>
      </c>
      <c r="K36" s="20">
        <v>0</v>
      </c>
      <c r="L36" s="20">
        <v>0</v>
      </c>
      <c r="M36" s="20">
        <v>0</v>
      </c>
      <c r="N36" s="20">
        <f>I36*0.8938636</f>
        <v>1020792.2311999999</v>
      </c>
      <c r="O36" s="20">
        <f>I36*0.827659</f>
        <v>945186.5780000001</v>
      </c>
      <c r="P36" s="21"/>
    </row>
    <row r="37" spans="1:16" ht="15.75">
      <c r="A37" s="3"/>
      <c r="B37" s="4" t="s">
        <v>69</v>
      </c>
      <c r="C37" s="3" t="s">
        <v>36</v>
      </c>
      <c r="D37" s="3" t="s">
        <v>28</v>
      </c>
      <c r="E37" s="3" t="s">
        <v>28</v>
      </c>
      <c r="F37" s="3" t="s">
        <v>70</v>
      </c>
      <c r="G37" s="3" t="s">
        <v>28</v>
      </c>
      <c r="H37" s="6">
        <v>0</v>
      </c>
      <c r="I37" s="6">
        <f>J37+K37+L37+M37</f>
        <v>18200</v>
      </c>
      <c r="J37" s="6">
        <f>J39+J41+J40+J42+J43</f>
        <v>18200</v>
      </c>
      <c r="K37" s="6">
        <f t="shared" ref="K37:M37" si="10">K39+K41+K40+K42+K43</f>
        <v>0</v>
      </c>
      <c r="L37" s="6">
        <f t="shared" si="10"/>
        <v>0</v>
      </c>
      <c r="M37" s="6">
        <f t="shared" si="10"/>
        <v>0</v>
      </c>
      <c r="N37" s="6">
        <f>I37*0.8938636</f>
        <v>16268.317520000001</v>
      </c>
      <c r="O37" s="6">
        <f>I37*0.827659</f>
        <v>15063.3938</v>
      </c>
      <c r="P37" s="7"/>
    </row>
    <row r="38" spans="1:16" ht="15.75">
      <c r="A38" s="3"/>
      <c r="B38" s="4" t="s">
        <v>71</v>
      </c>
      <c r="C38" s="3"/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7"/>
    </row>
    <row r="39" spans="1:16" s="15" customFormat="1" ht="47.25" hidden="1">
      <c r="A39" s="9"/>
      <c r="B39" s="10" t="s">
        <v>72</v>
      </c>
      <c r="C39" s="9" t="s">
        <v>164</v>
      </c>
      <c r="D39" s="9" t="s">
        <v>40</v>
      </c>
      <c r="E39" s="11" t="s">
        <v>27</v>
      </c>
      <c r="F39" s="9" t="s">
        <v>70</v>
      </c>
      <c r="G39" s="9" t="s">
        <v>73</v>
      </c>
      <c r="H39" s="13">
        <v>0</v>
      </c>
      <c r="I39" s="13">
        <f t="shared" ref="I39:I50" si="11">J39+K39+L39+M39</f>
        <v>0</v>
      </c>
      <c r="J39" s="13">
        <v>0</v>
      </c>
      <c r="K39" s="13">
        <v>0</v>
      </c>
      <c r="L39" s="13">
        <v>0</v>
      </c>
      <c r="M39" s="13">
        <f>4500-4500</f>
        <v>0</v>
      </c>
      <c r="N39" s="13">
        <f t="shared" ref="N39:N44" si="12">I39*0.8938636</f>
        <v>0</v>
      </c>
      <c r="O39" s="13">
        <f t="shared" ref="O39:O44" si="13">I39*0.827659</f>
        <v>0</v>
      </c>
      <c r="P39" s="14"/>
    </row>
    <row r="40" spans="1:16" s="22" customFormat="1" ht="47.25" hidden="1">
      <c r="A40" s="16"/>
      <c r="B40" s="17" t="s">
        <v>74</v>
      </c>
      <c r="C40" s="9" t="s">
        <v>165</v>
      </c>
      <c r="D40" s="9" t="s">
        <v>75</v>
      </c>
      <c r="E40" s="11" t="s">
        <v>27</v>
      </c>
      <c r="F40" s="16" t="s">
        <v>70</v>
      </c>
      <c r="G40" s="16" t="s">
        <v>73</v>
      </c>
      <c r="H40" s="20">
        <v>0</v>
      </c>
      <c r="I40" s="20">
        <f t="shared" si="11"/>
        <v>0</v>
      </c>
      <c r="J40" s="20">
        <v>0</v>
      </c>
      <c r="K40" s="20">
        <f>300-300</f>
        <v>0</v>
      </c>
      <c r="L40" s="20">
        <f>300-300</f>
        <v>0</v>
      </c>
      <c r="M40" s="20">
        <f>300-300</f>
        <v>0</v>
      </c>
      <c r="N40" s="20">
        <f t="shared" si="12"/>
        <v>0</v>
      </c>
      <c r="O40" s="20">
        <f t="shared" si="13"/>
        <v>0</v>
      </c>
      <c r="P40" s="21"/>
    </row>
    <row r="41" spans="1:16" s="15" customFormat="1" ht="31.5">
      <c r="A41" s="9"/>
      <c r="B41" s="10" t="s">
        <v>76</v>
      </c>
      <c r="C41" s="9" t="s">
        <v>164</v>
      </c>
      <c r="D41" s="9" t="s">
        <v>40</v>
      </c>
      <c r="E41" s="11" t="s">
        <v>27</v>
      </c>
      <c r="F41" s="9" t="s">
        <v>70</v>
      </c>
      <c r="G41" s="9" t="s">
        <v>28</v>
      </c>
      <c r="H41" s="13">
        <v>0</v>
      </c>
      <c r="I41" s="13">
        <f>J41+K41+L41+M41</f>
        <v>18200</v>
      </c>
      <c r="J41" s="13">
        <v>18200</v>
      </c>
      <c r="K41" s="13">
        <v>0</v>
      </c>
      <c r="L41" s="13">
        <v>0</v>
      </c>
      <c r="M41" s="13">
        <v>0</v>
      </c>
      <c r="N41" s="13">
        <f t="shared" si="12"/>
        <v>16268.317520000001</v>
      </c>
      <c r="O41" s="13">
        <f t="shared" si="13"/>
        <v>15063.3938</v>
      </c>
      <c r="P41" s="14"/>
    </row>
    <row r="42" spans="1:16" s="15" customFormat="1" ht="31.5" hidden="1">
      <c r="A42" s="9"/>
      <c r="B42" s="23" t="s">
        <v>77</v>
      </c>
      <c r="C42" s="9" t="s">
        <v>164</v>
      </c>
      <c r="D42" s="9" t="s">
        <v>40</v>
      </c>
      <c r="E42" s="11" t="s">
        <v>27</v>
      </c>
      <c r="F42" s="24" t="s">
        <v>70</v>
      </c>
      <c r="G42" s="24" t="s">
        <v>28</v>
      </c>
      <c r="H42" s="13">
        <v>0</v>
      </c>
      <c r="I42" s="13">
        <f>J42+K42+L42+M42</f>
        <v>0</v>
      </c>
      <c r="J42" s="13">
        <v>0</v>
      </c>
      <c r="K42" s="13">
        <v>0</v>
      </c>
      <c r="L42" s="13">
        <v>0</v>
      </c>
      <c r="M42" s="13">
        <v>0</v>
      </c>
      <c r="N42" s="13">
        <f t="shared" si="12"/>
        <v>0</v>
      </c>
      <c r="O42" s="13">
        <f t="shared" si="13"/>
        <v>0</v>
      </c>
      <c r="P42" s="14"/>
    </row>
    <row r="43" spans="1:16" s="22" customFormat="1" ht="31.5">
      <c r="A43" s="16"/>
      <c r="B43" s="17" t="s">
        <v>79</v>
      </c>
      <c r="C43" s="3" t="s">
        <v>165</v>
      </c>
      <c r="D43" s="3" t="s">
        <v>75</v>
      </c>
      <c r="E43" s="5" t="s">
        <v>27</v>
      </c>
      <c r="F43" s="16" t="s">
        <v>70</v>
      </c>
      <c r="G43" s="16" t="s">
        <v>28</v>
      </c>
      <c r="H43" s="20">
        <v>0</v>
      </c>
      <c r="I43" s="20">
        <f>J43+K43+L43+M43</f>
        <v>0</v>
      </c>
      <c r="J43" s="20">
        <v>0</v>
      </c>
      <c r="K43" s="20">
        <v>0</v>
      </c>
      <c r="L43" s="20">
        <v>0</v>
      </c>
      <c r="M43" s="20">
        <v>0</v>
      </c>
      <c r="N43" s="20">
        <f t="shared" si="12"/>
        <v>0</v>
      </c>
      <c r="O43" s="20">
        <f t="shared" si="13"/>
        <v>0</v>
      </c>
      <c r="P43" s="21"/>
    </row>
    <row r="44" spans="1:16" ht="31.5">
      <c r="A44" s="3"/>
      <c r="B44" s="4" t="s">
        <v>80</v>
      </c>
      <c r="C44" s="3" t="s">
        <v>36</v>
      </c>
      <c r="D44" s="3"/>
      <c r="E44" s="5" t="s">
        <v>27</v>
      </c>
      <c r="F44" s="3" t="s">
        <v>81</v>
      </c>
      <c r="G44" s="3" t="s">
        <v>28</v>
      </c>
      <c r="H44" s="6">
        <v>0</v>
      </c>
      <c r="I44" s="6">
        <f>J44+K44+L44+M44</f>
        <v>1255173</v>
      </c>
      <c r="J44" s="6">
        <f>J46+J47</f>
        <v>1255173</v>
      </c>
      <c r="K44" s="6">
        <f>K46+K47</f>
        <v>0</v>
      </c>
      <c r="L44" s="6">
        <f>L46+L47</f>
        <v>0</v>
      </c>
      <c r="M44" s="6">
        <f>M46+M47</f>
        <v>0</v>
      </c>
      <c r="N44" s="6">
        <f t="shared" si="12"/>
        <v>1121953.4564028</v>
      </c>
      <c r="O44" s="6">
        <f t="shared" si="13"/>
        <v>1038855.230007</v>
      </c>
      <c r="P44" s="7"/>
    </row>
    <row r="45" spans="1:16" ht="15.75">
      <c r="A45" s="3"/>
      <c r="B45" s="4" t="s">
        <v>71</v>
      </c>
      <c r="C45" s="3"/>
      <c r="D45" s="3"/>
      <c r="E45" s="5" t="s">
        <v>27</v>
      </c>
      <c r="F45" s="3"/>
      <c r="G45" s="3"/>
      <c r="H45" s="6"/>
      <c r="I45" s="6"/>
      <c r="J45" s="6"/>
      <c r="K45" s="6"/>
      <c r="L45" s="6"/>
      <c r="M45" s="6"/>
      <c r="N45" s="6"/>
      <c r="O45" s="6"/>
      <c r="P45" s="7"/>
    </row>
    <row r="46" spans="1:16" s="15" customFormat="1" ht="47.25">
      <c r="A46" s="9"/>
      <c r="B46" s="10" t="s">
        <v>82</v>
      </c>
      <c r="C46" s="9" t="s">
        <v>166</v>
      </c>
      <c r="D46" s="9" t="s">
        <v>40</v>
      </c>
      <c r="E46" s="11" t="s">
        <v>27</v>
      </c>
      <c r="F46" s="9" t="s">
        <v>81</v>
      </c>
      <c r="G46" s="9" t="s">
        <v>28</v>
      </c>
      <c r="H46" s="13">
        <v>0</v>
      </c>
      <c r="I46" s="13">
        <f>J46+K46+L46+M46</f>
        <v>941173</v>
      </c>
      <c r="J46" s="13">
        <v>941173</v>
      </c>
      <c r="K46" s="13">
        <v>0</v>
      </c>
      <c r="L46" s="13">
        <v>0</v>
      </c>
      <c r="M46" s="13">
        <v>0</v>
      </c>
      <c r="N46" s="13">
        <f>I46*0.8938636</f>
        <v>841280.28600279998</v>
      </c>
      <c r="O46" s="13">
        <f>I46*0.827659</f>
        <v>778970.30400700006</v>
      </c>
      <c r="P46" s="14"/>
    </row>
    <row r="47" spans="1:16" s="22" customFormat="1" ht="47.25">
      <c r="A47" s="16"/>
      <c r="B47" s="17" t="s">
        <v>83</v>
      </c>
      <c r="C47" s="16" t="s">
        <v>167</v>
      </c>
      <c r="D47" s="16" t="s">
        <v>75</v>
      </c>
      <c r="E47" s="18" t="s">
        <v>27</v>
      </c>
      <c r="F47" s="16" t="s">
        <v>81</v>
      </c>
      <c r="G47" s="16" t="s">
        <v>28</v>
      </c>
      <c r="H47" s="20">
        <v>0</v>
      </c>
      <c r="I47" s="20">
        <f t="shared" si="11"/>
        <v>314000</v>
      </c>
      <c r="J47" s="20">
        <v>314000</v>
      </c>
      <c r="K47" s="20">
        <v>0</v>
      </c>
      <c r="L47" s="20">
        <v>0</v>
      </c>
      <c r="M47" s="20">
        <v>0</v>
      </c>
      <c r="N47" s="20">
        <f>I47*0.8938636</f>
        <v>280673.1704</v>
      </c>
      <c r="O47" s="20">
        <f>I47*0.827659</f>
        <v>259884.92600000001</v>
      </c>
      <c r="P47" s="21"/>
    </row>
    <row r="48" spans="1:16" s="15" customFormat="1" ht="15.75">
      <c r="A48" s="9" t="s">
        <v>84</v>
      </c>
      <c r="B48" s="10" t="s">
        <v>85</v>
      </c>
      <c r="C48" s="9" t="s">
        <v>168</v>
      </c>
      <c r="D48" s="9" t="s">
        <v>40</v>
      </c>
      <c r="E48" s="11" t="s">
        <v>27</v>
      </c>
      <c r="F48" s="9" t="s">
        <v>86</v>
      </c>
      <c r="G48" s="9" t="s">
        <v>28</v>
      </c>
      <c r="H48" s="13">
        <v>0</v>
      </c>
      <c r="I48" s="13">
        <f t="shared" si="11"/>
        <v>14784</v>
      </c>
      <c r="J48" s="13">
        <v>14784</v>
      </c>
      <c r="K48" s="13">
        <v>0</v>
      </c>
      <c r="L48" s="13">
        <v>0</v>
      </c>
      <c r="M48" s="13">
        <v>0</v>
      </c>
      <c r="N48" s="13">
        <f>I48*0.8938636</f>
        <v>13214.8794624</v>
      </c>
      <c r="O48" s="13">
        <f>I48*0.827659</f>
        <v>12236.110656000001</v>
      </c>
      <c r="P48" s="14"/>
    </row>
    <row r="49" spans="1:16" s="15" customFormat="1" ht="15.75">
      <c r="A49" s="9" t="s">
        <v>87</v>
      </c>
      <c r="B49" s="10" t="s">
        <v>88</v>
      </c>
      <c r="C49" s="9" t="s">
        <v>169</v>
      </c>
      <c r="D49" s="9" t="s">
        <v>40</v>
      </c>
      <c r="E49" s="11" t="s">
        <v>27</v>
      </c>
      <c r="F49" s="9" t="s">
        <v>89</v>
      </c>
      <c r="G49" s="9" t="s">
        <v>28</v>
      </c>
      <c r="H49" s="13">
        <v>0</v>
      </c>
      <c r="I49" s="13">
        <f t="shared" si="11"/>
        <v>0</v>
      </c>
      <c r="J49" s="13">
        <v>0</v>
      </c>
      <c r="K49" s="13">
        <v>0</v>
      </c>
      <c r="L49" s="13">
        <v>0</v>
      </c>
      <c r="M49" s="13">
        <v>0</v>
      </c>
      <c r="N49" s="13"/>
      <c r="O49" s="13"/>
      <c r="P49" s="14"/>
    </row>
    <row r="50" spans="1:16" s="22" customFormat="1" ht="15.75">
      <c r="A50" s="16" t="s">
        <v>90</v>
      </c>
      <c r="B50" s="17" t="s">
        <v>91</v>
      </c>
      <c r="C50" s="16" t="s">
        <v>170</v>
      </c>
      <c r="D50" s="16" t="s">
        <v>75</v>
      </c>
      <c r="E50" s="18" t="s">
        <v>27</v>
      </c>
      <c r="F50" s="16" t="s">
        <v>92</v>
      </c>
      <c r="G50" s="16" t="s">
        <v>28</v>
      </c>
      <c r="H50" s="20">
        <v>0</v>
      </c>
      <c r="I50" s="20">
        <f t="shared" si="11"/>
        <v>1299082</v>
      </c>
      <c r="J50" s="20">
        <f>J52+J53+J54+J55</f>
        <v>1299082</v>
      </c>
      <c r="K50" s="20">
        <f t="shared" ref="K50:O50" si="14">K52+K53+K54+K55</f>
        <v>0</v>
      </c>
      <c r="L50" s="20">
        <f t="shared" si="14"/>
        <v>0</v>
      </c>
      <c r="M50" s="20">
        <f t="shared" si="14"/>
        <v>0</v>
      </c>
      <c r="N50" s="20">
        <f t="shared" si="14"/>
        <v>1161202.1132151999</v>
      </c>
      <c r="O50" s="20">
        <f t="shared" si="14"/>
        <v>1075196.909038</v>
      </c>
      <c r="P50" s="21"/>
    </row>
    <row r="51" spans="1:16" ht="15.75" hidden="1">
      <c r="A51" s="3"/>
      <c r="B51" s="4" t="s">
        <v>71</v>
      </c>
      <c r="C51" s="3"/>
      <c r="D51" s="3"/>
      <c r="E51" s="5" t="s">
        <v>27</v>
      </c>
      <c r="F51" s="3"/>
      <c r="G51" s="3"/>
      <c r="H51" s="6"/>
      <c r="I51" s="6"/>
      <c r="J51" s="6"/>
      <c r="K51" s="6"/>
      <c r="L51" s="6"/>
      <c r="M51" s="6"/>
      <c r="N51" s="6"/>
      <c r="O51" s="6"/>
      <c r="P51" s="7"/>
    </row>
    <row r="52" spans="1:16" ht="15.75" hidden="1">
      <c r="A52" s="3"/>
      <c r="B52" s="4" t="s">
        <v>93</v>
      </c>
      <c r="C52" s="16" t="s">
        <v>170</v>
      </c>
      <c r="D52" s="3" t="s">
        <v>75</v>
      </c>
      <c r="E52" s="5" t="s">
        <v>27</v>
      </c>
      <c r="F52" s="3" t="s">
        <v>92</v>
      </c>
      <c r="G52" s="3" t="s">
        <v>94</v>
      </c>
      <c r="H52" s="6">
        <v>0</v>
      </c>
      <c r="I52" s="6">
        <f>J52+K52+L52+M52</f>
        <v>1299082</v>
      </c>
      <c r="J52" s="6">
        <v>1299082</v>
      </c>
      <c r="K52" s="6">
        <v>0</v>
      </c>
      <c r="L52" s="6">
        <v>0</v>
      </c>
      <c r="M52" s="6">
        <v>0</v>
      </c>
      <c r="N52" s="6">
        <f>I52*0.8938636</f>
        <v>1161202.1132151999</v>
      </c>
      <c r="O52" s="6">
        <f>I52*0.827659</f>
        <v>1075196.909038</v>
      </c>
      <c r="P52" s="7"/>
    </row>
    <row r="53" spans="1:16" ht="31.5" hidden="1">
      <c r="A53" s="3"/>
      <c r="B53" s="4" t="s">
        <v>95</v>
      </c>
      <c r="C53" s="16" t="s">
        <v>170</v>
      </c>
      <c r="D53" s="3" t="s">
        <v>75</v>
      </c>
      <c r="E53" s="5" t="s">
        <v>27</v>
      </c>
      <c r="F53" s="3" t="s">
        <v>92</v>
      </c>
      <c r="G53" s="3" t="s">
        <v>96</v>
      </c>
      <c r="H53" s="6">
        <v>0</v>
      </c>
      <c r="I53" s="6">
        <f>J53+K53+L53+M53</f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>I53*0.827659</f>
        <v>0</v>
      </c>
      <c r="P53" s="7"/>
    </row>
    <row r="54" spans="1:16" ht="31.5" hidden="1">
      <c r="A54" s="3"/>
      <c r="B54" s="4" t="s">
        <v>97</v>
      </c>
      <c r="C54" s="16" t="s">
        <v>170</v>
      </c>
      <c r="D54" s="3" t="s">
        <v>75</v>
      </c>
      <c r="E54" s="5" t="s">
        <v>27</v>
      </c>
      <c r="F54" s="3" t="s">
        <v>92</v>
      </c>
      <c r="G54" s="3" t="s">
        <v>98</v>
      </c>
      <c r="H54" s="6">
        <f>I54+N54+O54</f>
        <v>0</v>
      </c>
      <c r="I54" s="6">
        <f>J54+K54+L54+M54</f>
        <v>0</v>
      </c>
      <c r="J54" s="6">
        <v>0</v>
      </c>
      <c r="K54" s="6">
        <v>0</v>
      </c>
      <c r="L54" s="6">
        <v>0</v>
      </c>
      <c r="M54" s="6">
        <v>0</v>
      </c>
      <c r="N54" s="6">
        <f>I54*0.8938636</f>
        <v>0</v>
      </c>
      <c r="O54" s="6">
        <f>I54*0.827659</f>
        <v>0</v>
      </c>
      <c r="P54" s="7"/>
    </row>
    <row r="55" spans="1:16" ht="31.5" hidden="1">
      <c r="A55" s="3"/>
      <c r="B55" s="4" t="s">
        <v>99</v>
      </c>
      <c r="C55" s="16" t="s">
        <v>170</v>
      </c>
      <c r="D55" s="3" t="s">
        <v>75</v>
      </c>
      <c r="E55" s="5" t="s">
        <v>27</v>
      </c>
      <c r="F55" s="3" t="s">
        <v>92</v>
      </c>
      <c r="G55" s="3" t="s">
        <v>100</v>
      </c>
      <c r="H55" s="6"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 t="s">
        <v>101</v>
      </c>
      <c r="B56" s="4" t="s">
        <v>102</v>
      </c>
      <c r="C56" s="25" t="s">
        <v>171</v>
      </c>
      <c r="D56" s="25" t="s">
        <v>75</v>
      </c>
      <c r="E56" s="28" t="s">
        <v>27</v>
      </c>
      <c r="F56" s="3" t="s">
        <v>103</v>
      </c>
      <c r="G56" s="3" t="s">
        <v>28</v>
      </c>
      <c r="H56" s="6">
        <v>0</v>
      </c>
      <c r="I56" s="6">
        <f>J56+K56+L56+M56</f>
        <v>47000</v>
      </c>
      <c r="J56" s="6">
        <f t="shared" ref="J56:O56" si="15">J58+J59+J60</f>
        <v>47000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42011.589200000002</v>
      </c>
      <c r="O56" s="6">
        <f t="shared" si="15"/>
        <v>38899.972999999998</v>
      </c>
      <c r="P56" s="7"/>
    </row>
    <row r="57" spans="1:16" ht="15.75">
      <c r="A57" s="3"/>
      <c r="B57" s="4" t="s">
        <v>71</v>
      </c>
      <c r="C57" s="3"/>
      <c r="D57" s="3"/>
      <c r="E57" s="5" t="s">
        <v>27</v>
      </c>
      <c r="F57" s="3"/>
      <c r="G57" s="3"/>
      <c r="H57" s="6"/>
      <c r="I57" s="6"/>
      <c r="J57" s="6"/>
      <c r="K57" s="6"/>
      <c r="L57" s="6"/>
      <c r="M57" s="6"/>
      <c r="N57" s="6"/>
      <c r="O57" s="6"/>
      <c r="P57" s="7"/>
    </row>
    <row r="58" spans="1:16" s="22" customFormat="1" ht="31.5">
      <c r="A58" s="16"/>
      <c r="B58" s="17" t="s">
        <v>104</v>
      </c>
      <c r="C58" s="16" t="s">
        <v>171</v>
      </c>
      <c r="D58" s="16" t="s">
        <v>75</v>
      </c>
      <c r="E58" s="18" t="s">
        <v>27</v>
      </c>
      <c r="F58" s="16" t="s">
        <v>103</v>
      </c>
      <c r="G58" s="16" t="s">
        <v>28</v>
      </c>
      <c r="H58" s="20">
        <v>0</v>
      </c>
      <c r="I58" s="20">
        <f>J58+K58+L58+M58</f>
        <v>47000</v>
      </c>
      <c r="J58" s="20">
        <v>47000</v>
      </c>
      <c r="K58" s="20">
        <v>0</v>
      </c>
      <c r="L58" s="20">
        <v>0</v>
      </c>
      <c r="M58" s="20">
        <v>0</v>
      </c>
      <c r="N58" s="20">
        <f>I58*0.8938636</f>
        <v>42011.589200000002</v>
      </c>
      <c r="O58" s="20">
        <f>I58*0.827659</f>
        <v>38899.972999999998</v>
      </c>
      <c r="P58" s="21"/>
    </row>
    <row r="59" spans="1:16" ht="31.5">
      <c r="A59" s="3"/>
      <c r="B59" s="4" t="s">
        <v>105</v>
      </c>
      <c r="C59" s="16" t="s">
        <v>171</v>
      </c>
      <c r="D59" s="3" t="s">
        <v>75</v>
      </c>
      <c r="E59" s="5" t="s">
        <v>27</v>
      </c>
      <c r="F59" s="3" t="s">
        <v>103</v>
      </c>
      <c r="G59" s="3" t="s">
        <v>28</v>
      </c>
      <c r="H59" s="6">
        <f>I59+N59+O59</f>
        <v>0</v>
      </c>
      <c r="I59" s="6">
        <f>J59+K59+L59+M59</f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/>
    </row>
    <row r="60" spans="1:16" ht="47.25">
      <c r="A60" s="3"/>
      <c r="B60" s="4" t="s">
        <v>106</v>
      </c>
      <c r="C60" s="16" t="s">
        <v>171</v>
      </c>
      <c r="D60" s="3" t="s">
        <v>75</v>
      </c>
      <c r="E60" s="5" t="s">
        <v>27</v>
      </c>
      <c r="F60" s="3" t="s">
        <v>103</v>
      </c>
      <c r="G60" s="3" t="s">
        <v>28</v>
      </c>
      <c r="H60" s="6">
        <f>I60+N60+O60</f>
        <v>0</v>
      </c>
      <c r="I60" s="6">
        <f>J60+K60+L60+M60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7"/>
    </row>
    <row r="61" spans="1:16" ht="15.75">
      <c r="A61" s="3" t="s">
        <v>107</v>
      </c>
      <c r="B61" s="4" t="s">
        <v>108</v>
      </c>
      <c r="C61" s="3"/>
      <c r="D61" s="3"/>
      <c r="E61" s="5"/>
      <c r="F61" s="3" t="s">
        <v>109</v>
      </c>
      <c r="G61" s="3" t="s">
        <v>28</v>
      </c>
      <c r="H61" s="6">
        <v>0</v>
      </c>
      <c r="I61" s="6">
        <f>J61+K61+L61+M61</f>
        <v>65900</v>
      </c>
      <c r="J61" s="6">
        <f>J63+J64</f>
        <v>65900</v>
      </c>
      <c r="K61" s="6">
        <f>K63+K64</f>
        <v>0</v>
      </c>
      <c r="L61" s="6">
        <f>L63+L64</f>
        <v>0</v>
      </c>
      <c r="M61" s="6">
        <f>M63+M64</f>
        <v>0</v>
      </c>
      <c r="N61" s="6">
        <f>N63+N65</f>
        <v>8044.7723999999998</v>
      </c>
      <c r="O61" s="6">
        <f>O63+O65</f>
        <v>7448.9310000000005</v>
      </c>
      <c r="P61" s="7"/>
    </row>
    <row r="62" spans="1:16" ht="15.75">
      <c r="A62" s="3"/>
      <c r="B62" s="4" t="s">
        <v>71</v>
      </c>
      <c r="C62" s="3"/>
      <c r="D62" s="3"/>
      <c r="E62" s="5"/>
      <c r="F62" s="3"/>
      <c r="G62" s="3"/>
      <c r="H62" s="6"/>
      <c r="I62" s="6"/>
      <c r="J62" s="6"/>
      <c r="K62" s="6"/>
      <c r="L62" s="6"/>
      <c r="M62" s="6"/>
      <c r="N62" s="6"/>
      <c r="O62" s="6"/>
      <c r="P62" s="7"/>
    </row>
    <row r="63" spans="1:16" s="15" customFormat="1" ht="31.5">
      <c r="A63" s="9"/>
      <c r="B63" s="10" t="s">
        <v>110</v>
      </c>
      <c r="C63" s="9" t="s">
        <v>172</v>
      </c>
      <c r="D63" s="9" t="s">
        <v>40</v>
      </c>
      <c r="E63" s="5" t="s">
        <v>27</v>
      </c>
      <c r="F63" s="9" t="s">
        <v>109</v>
      </c>
      <c r="G63" s="9" t="s">
        <v>28</v>
      </c>
      <c r="H63" s="13">
        <v>0</v>
      </c>
      <c r="I63" s="13">
        <f>J63+K63+L63+M63</f>
        <v>9000</v>
      </c>
      <c r="J63" s="13">
        <f>9000</f>
        <v>9000</v>
      </c>
      <c r="K63" s="13">
        <v>0</v>
      </c>
      <c r="L63" s="13">
        <v>0</v>
      </c>
      <c r="M63" s="13">
        <v>0</v>
      </c>
      <c r="N63" s="13">
        <f>I63*0.8938636</f>
        <v>8044.7723999999998</v>
      </c>
      <c r="O63" s="13">
        <f>I63*0.827659</f>
        <v>7448.9310000000005</v>
      </c>
      <c r="P63" s="14"/>
    </row>
    <row r="64" spans="1:16" s="22" customFormat="1" ht="31.5">
      <c r="A64" s="16"/>
      <c r="B64" s="17" t="s">
        <v>111</v>
      </c>
      <c r="C64" s="16" t="s">
        <v>173</v>
      </c>
      <c r="D64" s="16" t="s">
        <v>75</v>
      </c>
      <c r="E64" s="5" t="s">
        <v>27</v>
      </c>
      <c r="F64" s="16" t="s">
        <v>109</v>
      </c>
      <c r="G64" s="16" t="s">
        <v>28</v>
      </c>
      <c r="H64" s="20">
        <v>0</v>
      </c>
      <c r="I64" s="20">
        <f>J64+K64+L64+M64</f>
        <v>56900</v>
      </c>
      <c r="J64" s="20">
        <f>57000-100</f>
        <v>56900</v>
      </c>
      <c r="K64" s="20">
        <v>0</v>
      </c>
      <c r="L64" s="20">
        <v>0</v>
      </c>
      <c r="M64" s="20">
        <v>0</v>
      </c>
      <c r="N64" s="20">
        <f>I64*0.8938636</f>
        <v>50860.838839999997</v>
      </c>
      <c r="O64" s="20">
        <f>I64*0.827659</f>
        <v>47093.797100000003</v>
      </c>
      <c r="P64" s="21"/>
    </row>
    <row r="65" spans="1:16" ht="78.75">
      <c r="A65" s="3"/>
      <c r="B65" s="4" t="s">
        <v>112</v>
      </c>
      <c r="C65" s="3" t="s">
        <v>172</v>
      </c>
      <c r="D65" s="3" t="s">
        <v>40</v>
      </c>
      <c r="E65" s="5" t="s">
        <v>27</v>
      </c>
      <c r="F65" s="3" t="s">
        <v>109</v>
      </c>
      <c r="G65" s="3" t="s">
        <v>28</v>
      </c>
      <c r="H65" s="6">
        <f>I65+N65+O65</f>
        <v>0</v>
      </c>
      <c r="I65" s="6">
        <f>J65+K65+L65+M65</f>
        <v>0</v>
      </c>
      <c r="J65" s="6">
        <v>0</v>
      </c>
      <c r="K65" s="6">
        <v>0</v>
      </c>
      <c r="L65" s="6">
        <v>0</v>
      </c>
      <c r="M65" s="6">
        <v>0</v>
      </c>
      <c r="N65" s="26">
        <f>I65*0.8938636</f>
        <v>0</v>
      </c>
      <c r="O65" s="26">
        <f>I65*0.827659</f>
        <v>0</v>
      </c>
      <c r="P65" s="7"/>
    </row>
    <row r="66" spans="1:16" ht="31.5">
      <c r="A66" s="3" t="s">
        <v>113</v>
      </c>
      <c r="B66" s="4" t="s">
        <v>114</v>
      </c>
      <c r="C66" s="3"/>
      <c r="D66" s="25"/>
      <c r="E66" s="5" t="s">
        <v>27</v>
      </c>
      <c r="F66" s="3" t="s">
        <v>115</v>
      </c>
      <c r="G66" s="3" t="s">
        <v>28</v>
      </c>
      <c r="H66" s="6">
        <v>0</v>
      </c>
      <c r="I66" s="6">
        <f>J66+K66+L66+M66</f>
        <v>0</v>
      </c>
      <c r="J66" s="6">
        <f t="shared" ref="J66:O66" si="16">J70+J71+J68</f>
        <v>0</v>
      </c>
      <c r="K66" s="6">
        <v>0</v>
      </c>
      <c r="L66" s="6">
        <f t="shared" si="16"/>
        <v>0</v>
      </c>
      <c r="M66" s="6">
        <v>0</v>
      </c>
      <c r="N66" s="6">
        <f t="shared" si="16"/>
        <v>0</v>
      </c>
      <c r="O66" s="6">
        <f t="shared" si="16"/>
        <v>0</v>
      </c>
      <c r="P66" s="7"/>
    </row>
    <row r="67" spans="1:16" ht="15.75">
      <c r="A67" s="3"/>
      <c r="B67" s="4" t="s">
        <v>71</v>
      </c>
      <c r="C67" s="3"/>
      <c r="D67" s="25"/>
      <c r="E67" s="5" t="s">
        <v>27</v>
      </c>
      <c r="F67" s="3"/>
      <c r="G67" s="3"/>
      <c r="H67" s="6"/>
      <c r="I67" s="6"/>
      <c r="J67" s="6"/>
      <c r="K67" s="6"/>
      <c r="L67" s="6"/>
      <c r="M67" s="6"/>
      <c r="N67" s="6"/>
      <c r="O67" s="6"/>
      <c r="P67" s="7"/>
    </row>
    <row r="68" spans="1:16" ht="39.75" customHeight="1">
      <c r="A68" s="3"/>
      <c r="B68" s="4" t="s">
        <v>116</v>
      </c>
      <c r="C68" s="3" t="s">
        <v>174</v>
      </c>
      <c r="D68" s="3" t="s">
        <v>40</v>
      </c>
      <c r="E68" s="5" t="s">
        <v>27</v>
      </c>
      <c r="F68" s="24" t="s">
        <v>115</v>
      </c>
      <c r="G68" s="24" t="s">
        <v>28</v>
      </c>
      <c r="H68" s="27">
        <v>0</v>
      </c>
      <c r="I68" s="27">
        <f>J68+K68+L68+M68</f>
        <v>0</v>
      </c>
      <c r="J68" s="27"/>
      <c r="K68" s="27">
        <v>0</v>
      </c>
      <c r="L68" s="27">
        <v>0</v>
      </c>
      <c r="M68" s="27">
        <v>0</v>
      </c>
      <c r="N68" s="27">
        <f t="shared" ref="N68:N69" si="17">I68*0.8938636</f>
        <v>0</v>
      </c>
      <c r="O68" s="27">
        <f t="shared" ref="O68:O69" si="18">I68*0.827659</f>
        <v>0</v>
      </c>
      <c r="P68" s="7"/>
    </row>
    <row r="69" spans="1:16" ht="31.5">
      <c r="A69" s="3"/>
      <c r="B69" s="4" t="s">
        <v>117</v>
      </c>
      <c r="C69" s="3" t="s">
        <v>175</v>
      </c>
      <c r="D69" s="25" t="s">
        <v>75</v>
      </c>
      <c r="E69" s="5" t="s">
        <v>27</v>
      </c>
      <c r="F69" s="16" t="s">
        <v>115</v>
      </c>
      <c r="G69" s="16" t="s">
        <v>28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f t="shared" si="17"/>
        <v>0</v>
      </c>
      <c r="O69" s="20">
        <f t="shared" si="18"/>
        <v>0</v>
      </c>
      <c r="P69" s="7"/>
    </row>
    <row r="70" spans="1:16" ht="78.75">
      <c r="A70" s="3"/>
      <c r="B70" s="4" t="s">
        <v>118</v>
      </c>
      <c r="C70" s="3" t="s">
        <v>174</v>
      </c>
      <c r="D70" s="3" t="s">
        <v>40</v>
      </c>
      <c r="E70" s="5" t="s">
        <v>27</v>
      </c>
      <c r="F70" s="3" t="s">
        <v>115</v>
      </c>
      <c r="G70" s="3" t="s">
        <v>28</v>
      </c>
      <c r="H70" s="6">
        <f>I70+N70+O70</f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7"/>
    </row>
    <row r="71" spans="1:16" ht="47.25">
      <c r="A71" s="3" t="s">
        <v>119</v>
      </c>
      <c r="B71" s="4" t="s">
        <v>120</v>
      </c>
      <c r="C71" s="3"/>
      <c r="D71" s="25"/>
      <c r="E71" s="5"/>
      <c r="F71" s="3" t="s">
        <v>115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121</v>
      </c>
      <c r="B72" s="4" t="s">
        <v>122</v>
      </c>
      <c r="C72" s="3"/>
      <c r="D72" s="25"/>
      <c r="E72" s="5"/>
      <c r="F72" s="3" t="s">
        <v>123</v>
      </c>
      <c r="G72" s="3" t="s">
        <v>28</v>
      </c>
      <c r="H72" s="6">
        <v>0</v>
      </c>
      <c r="I72" s="6">
        <f>J72+K72+L72+M72</f>
        <v>128108</v>
      </c>
      <c r="J72" s="6">
        <f>J74+J75+J76+J77</f>
        <v>128108</v>
      </c>
      <c r="K72" s="6">
        <f t="shared" ref="K72:M72" si="19">K74+K75+K76+K77</f>
        <v>0</v>
      </c>
      <c r="L72" s="6">
        <f t="shared" si="19"/>
        <v>0</v>
      </c>
      <c r="M72" s="6">
        <f t="shared" si="19"/>
        <v>0</v>
      </c>
      <c r="N72" s="6">
        <f t="shared" ref="N72:O72" si="20">N74+N75+N76</f>
        <v>114511.07806879999</v>
      </c>
      <c r="O72" s="6">
        <f t="shared" si="20"/>
        <v>106029.739172</v>
      </c>
      <c r="P72" s="7"/>
    </row>
    <row r="73" spans="1:16" ht="15.75">
      <c r="A73" s="3"/>
      <c r="B73" s="4" t="s">
        <v>71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118</v>
      </c>
      <c r="C74" s="3" t="s">
        <v>176</v>
      </c>
      <c r="D74" s="3" t="s">
        <v>40</v>
      </c>
      <c r="E74" s="5" t="s">
        <v>27</v>
      </c>
      <c r="F74" s="3" t="s">
        <v>123</v>
      </c>
      <c r="G74" s="3" t="s">
        <v>28</v>
      </c>
      <c r="H74" s="6">
        <f>I74+N74+O74</f>
        <v>0</v>
      </c>
      <c r="I74" s="6">
        <f>J74+K74+L74+M74</f>
        <v>0</v>
      </c>
      <c r="J74" s="6">
        <f t="shared" ref="J74:O74" si="21">K74+L74+M74+N74</f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6">
        <f t="shared" si="21"/>
        <v>0</v>
      </c>
      <c r="P74" s="7"/>
    </row>
    <row r="75" spans="1:16" s="15" customFormat="1" ht="31.5">
      <c r="A75" s="16"/>
      <c r="B75" s="17" t="s">
        <v>124</v>
      </c>
      <c r="C75" s="16" t="s">
        <v>176</v>
      </c>
      <c r="D75" s="16" t="s">
        <v>40</v>
      </c>
      <c r="E75" s="18" t="s">
        <v>27</v>
      </c>
      <c r="F75" s="16" t="s">
        <v>123</v>
      </c>
      <c r="G75" s="16" t="s">
        <v>28</v>
      </c>
      <c r="H75" s="20">
        <v>0</v>
      </c>
      <c r="I75" s="20">
        <f>J75+K75+L75+M75</f>
        <v>128108</v>
      </c>
      <c r="J75" s="20">
        <f>137108-9000</f>
        <v>128108</v>
      </c>
      <c r="K75" s="20">
        <v>0</v>
      </c>
      <c r="L75" s="20">
        <v>0</v>
      </c>
      <c r="M75" s="20">
        <v>0</v>
      </c>
      <c r="N75" s="20">
        <f>I75*0.8938636</f>
        <v>114511.07806879999</v>
      </c>
      <c r="O75" s="20">
        <f>I75*0.827659</f>
        <v>106029.739172</v>
      </c>
      <c r="P75" s="14"/>
    </row>
    <row r="76" spans="1:16" s="15" customFormat="1" ht="47.25" hidden="1">
      <c r="A76" s="9"/>
      <c r="B76" s="10" t="s">
        <v>125</v>
      </c>
      <c r="C76" s="9" t="s">
        <v>176</v>
      </c>
      <c r="D76" s="9" t="s">
        <v>40</v>
      </c>
      <c r="E76" s="5" t="s">
        <v>27</v>
      </c>
      <c r="F76" s="9" t="s">
        <v>123</v>
      </c>
      <c r="G76" s="9" t="s">
        <v>28</v>
      </c>
      <c r="H76" s="13">
        <v>0</v>
      </c>
      <c r="I76" s="13">
        <f>J76+K76+L76+M76</f>
        <v>0</v>
      </c>
      <c r="J76" s="13">
        <v>0</v>
      </c>
      <c r="K76" s="13">
        <v>0</v>
      </c>
      <c r="L76" s="13">
        <v>0</v>
      </c>
      <c r="M76" s="13">
        <v>0</v>
      </c>
      <c r="N76" s="13">
        <f>I76*0.8938636</f>
        <v>0</v>
      </c>
      <c r="O76" s="13">
        <f>I76*0.827659</f>
        <v>0</v>
      </c>
      <c r="P76" s="14"/>
    </row>
    <row r="77" spans="1:16" s="22" customFormat="1" ht="47.25">
      <c r="A77" s="16"/>
      <c r="B77" s="17" t="s">
        <v>126</v>
      </c>
      <c r="C77" s="16" t="s">
        <v>177</v>
      </c>
      <c r="D77" s="16" t="s">
        <v>75</v>
      </c>
      <c r="E77" s="5" t="s">
        <v>27</v>
      </c>
      <c r="F77" s="16" t="s">
        <v>123</v>
      </c>
      <c r="G77" s="16" t="s">
        <v>28</v>
      </c>
      <c r="H77" s="20">
        <v>0</v>
      </c>
      <c r="I77" s="20">
        <f>J77+K77+L77+M77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f>I77*0.8938636</f>
        <v>0</v>
      </c>
      <c r="O77" s="20">
        <f>I77*0.827659</f>
        <v>0</v>
      </c>
      <c r="P77" s="21"/>
    </row>
    <row r="78" spans="1:16" ht="15.75">
      <c r="A78" s="3" t="s">
        <v>127</v>
      </c>
      <c r="B78" s="4" t="s">
        <v>128</v>
      </c>
      <c r="C78" s="3"/>
      <c r="D78" s="3"/>
      <c r="E78" s="5"/>
      <c r="F78" s="3" t="s">
        <v>129</v>
      </c>
      <c r="G78" s="3" t="s">
        <v>28</v>
      </c>
      <c r="H78" s="6">
        <v>0</v>
      </c>
      <c r="I78" s="6">
        <f>J78+K78+L78+M78</f>
        <v>100</v>
      </c>
      <c r="J78" s="6">
        <f t="shared" ref="J78:O78" si="22">J80+J81</f>
        <v>100</v>
      </c>
      <c r="K78" s="6">
        <f t="shared" si="22"/>
        <v>0</v>
      </c>
      <c r="L78" s="6">
        <f t="shared" si="22"/>
        <v>0</v>
      </c>
      <c r="M78" s="6">
        <f t="shared" si="22"/>
        <v>0</v>
      </c>
      <c r="N78" s="6">
        <f t="shared" si="22"/>
        <v>89.386359999999996</v>
      </c>
      <c r="O78" s="6">
        <f t="shared" si="22"/>
        <v>82.765900000000002</v>
      </c>
      <c r="P78" s="7"/>
    </row>
    <row r="79" spans="1:16" ht="15.75">
      <c r="A79" s="3"/>
      <c r="B79" s="4" t="s">
        <v>71</v>
      </c>
      <c r="C79" s="3"/>
      <c r="D79" s="3"/>
      <c r="E79" s="5"/>
      <c r="F79" s="3"/>
      <c r="G79" s="3"/>
      <c r="H79" s="6"/>
      <c r="I79" s="6"/>
      <c r="J79" s="6"/>
      <c r="K79" s="6"/>
      <c r="L79" s="6"/>
      <c r="M79" s="6"/>
      <c r="N79" s="6"/>
      <c r="O79" s="6"/>
      <c r="P79" s="7"/>
    </row>
    <row r="80" spans="1:16" s="15" customFormat="1" ht="15.75">
      <c r="A80" s="9" t="s">
        <v>130</v>
      </c>
      <c r="B80" s="10" t="s">
        <v>128</v>
      </c>
      <c r="C80" s="9" t="s">
        <v>178</v>
      </c>
      <c r="D80" s="9" t="s">
        <v>40</v>
      </c>
      <c r="E80" s="5" t="s">
        <v>27</v>
      </c>
      <c r="F80" s="9" t="s">
        <v>129</v>
      </c>
      <c r="G80" s="9" t="s">
        <v>28</v>
      </c>
      <c r="H80" s="13">
        <v>0</v>
      </c>
      <c r="I80" s="13">
        <f>J80+K80+L80+M80</f>
        <v>0</v>
      </c>
      <c r="J80" s="13">
        <v>0</v>
      </c>
      <c r="K80" s="13">
        <f>4000-4000</f>
        <v>0</v>
      </c>
      <c r="L80" s="13">
        <v>0</v>
      </c>
      <c r="M80" s="13">
        <v>0</v>
      </c>
      <c r="N80" s="27">
        <f t="shared" ref="N80:N81" si="23">I80*0.8938636</f>
        <v>0</v>
      </c>
      <c r="O80" s="27">
        <f t="shared" ref="O80:O81" si="24">I80*0.827659</f>
        <v>0</v>
      </c>
      <c r="P80" s="14"/>
    </row>
    <row r="81" spans="1:16" ht="15.75">
      <c r="A81" s="3" t="s">
        <v>131</v>
      </c>
      <c r="B81" s="17" t="s">
        <v>128</v>
      </c>
      <c r="C81" s="3" t="s">
        <v>179</v>
      </c>
      <c r="D81" s="3" t="s">
        <v>75</v>
      </c>
      <c r="E81" s="5" t="s">
        <v>27</v>
      </c>
      <c r="F81" s="3" t="s">
        <v>129</v>
      </c>
      <c r="G81" s="3" t="s">
        <v>28</v>
      </c>
      <c r="H81" s="6">
        <v>0</v>
      </c>
      <c r="I81" s="6">
        <f>J81+K81+L81+M81</f>
        <v>100</v>
      </c>
      <c r="J81" s="6">
        <f>100</f>
        <v>100</v>
      </c>
      <c r="K81" s="6">
        <f>500-500</f>
        <v>0</v>
      </c>
      <c r="L81" s="6">
        <v>0</v>
      </c>
      <c r="M81" s="6">
        <v>0</v>
      </c>
      <c r="N81" s="20">
        <f t="shared" si="23"/>
        <v>89.386359999999996</v>
      </c>
      <c r="O81" s="20">
        <f t="shared" si="24"/>
        <v>82.765900000000002</v>
      </c>
      <c r="P81" s="7"/>
    </row>
    <row r="82" spans="1:16" ht="31.5">
      <c r="A82" s="3" t="s">
        <v>132</v>
      </c>
      <c r="B82" s="4" t="s">
        <v>133</v>
      </c>
      <c r="C82" s="3" t="s">
        <v>46</v>
      </c>
      <c r="D82" s="3"/>
      <c r="E82" s="5"/>
      <c r="F82" s="3" t="s">
        <v>28</v>
      </c>
      <c r="G82" s="3" t="s">
        <v>28</v>
      </c>
      <c r="H82" s="6">
        <v>0</v>
      </c>
      <c r="I82" s="6">
        <f>I83+I84+I85+I86+I87+I88</f>
        <v>1615363</v>
      </c>
      <c r="J82" s="6">
        <f>J83+J84+J85+J86+J87+J88</f>
        <v>1615363</v>
      </c>
      <c r="K82" s="6">
        <f t="shared" ref="K82:M82" si="25">K83+K84+K85+K86</f>
        <v>0</v>
      </c>
      <c r="L82" s="6">
        <f t="shared" si="25"/>
        <v>0</v>
      </c>
      <c r="M82" s="6">
        <f t="shared" si="25"/>
        <v>0</v>
      </c>
      <c r="N82" s="31">
        <f>I82*0.8938636</f>
        <v>1443914.1864868</v>
      </c>
      <c r="O82" s="31">
        <f>I82*0.827659</f>
        <v>1336969.7252170001</v>
      </c>
      <c r="P82" s="7"/>
    </row>
    <row r="83" spans="1:16" s="15" customFormat="1" ht="69" customHeight="1">
      <c r="A83" s="9" t="s">
        <v>134</v>
      </c>
      <c r="B83" s="35" t="s">
        <v>196</v>
      </c>
      <c r="C83" s="25" t="s">
        <v>151</v>
      </c>
      <c r="D83" s="25" t="s">
        <v>75</v>
      </c>
      <c r="E83" s="11" t="s">
        <v>182</v>
      </c>
      <c r="F83" s="25" t="s">
        <v>123</v>
      </c>
      <c r="G83" s="25" t="s">
        <v>28</v>
      </c>
      <c r="H83" s="13">
        <v>0</v>
      </c>
      <c r="I83" s="13">
        <f>J83+K83+L83+M83</f>
        <v>64600</v>
      </c>
      <c r="J83" s="13">
        <f>J20</f>
        <v>64600</v>
      </c>
      <c r="K83" s="13">
        <v>0</v>
      </c>
      <c r="L83" s="13">
        <v>0</v>
      </c>
      <c r="M83" s="13">
        <v>0</v>
      </c>
      <c r="N83" s="12">
        <f>I83*0.8938636</f>
        <v>57743.588559999997</v>
      </c>
      <c r="O83" s="12">
        <f>I83*0.827659</f>
        <v>53466.771400000005</v>
      </c>
      <c r="P83" s="14"/>
    </row>
    <row r="84" spans="1:16" s="15" customFormat="1" ht="63">
      <c r="A84" s="9" t="s">
        <v>135</v>
      </c>
      <c r="B84" s="10" t="s">
        <v>197</v>
      </c>
      <c r="C84" s="25" t="s">
        <v>152</v>
      </c>
      <c r="D84" s="25" t="s">
        <v>49</v>
      </c>
      <c r="E84" s="11" t="s">
        <v>183</v>
      </c>
      <c r="F84" s="25" t="s">
        <v>123</v>
      </c>
      <c r="G84" s="25" t="s">
        <v>28</v>
      </c>
      <c r="H84" s="13">
        <v>0</v>
      </c>
      <c r="I84" s="13">
        <f>J84+K84+L84+M84</f>
        <v>90440</v>
      </c>
      <c r="J84" s="13">
        <f>J21</f>
        <v>90440</v>
      </c>
      <c r="K84" s="13">
        <v>0</v>
      </c>
      <c r="L84" s="13">
        <v>0</v>
      </c>
      <c r="M84" s="13">
        <v>0</v>
      </c>
      <c r="N84" s="12">
        <f>I84*0.8938636</f>
        <v>80841.023983999999</v>
      </c>
      <c r="O84" s="12">
        <f>I84*0.827659</f>
        <v>74853.479959999997</v>
      </c>
      <c r="P84" s="14"/>
    </row>
    <row r="85" spans="1:16" ht="50.25" customHeight="1">
      <c r="A85" s="3" t="s">
        <v>136</v>
      </c>
      <c r="B85" s="4" t="s">
        <v>186</v>
      </c>
      <c r="C85" s="3" t="s">
        <v>153</v>
      </c>
      <c r="D85" s="25" t="s">
        <v>75</v>
      </c>
      <c r="E85" s="5" t="s">
        <v>187</v>
      </c>
      <c r="F85" s="3" t="s">
        <v>103</v>
      </c>
      <c r="G85" s="3" t="s">
        <v>28</v>
      </c>
      <c r="H85" s="6">
        <v>0</v>
      </c>
      <c r="I85" s="6">
        <f t="shared" ref="I85:I88" si="26">J85+K85+L85+M85</f>
        <v>0</v>
      </c>
      <c r="J85" s="6"/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/>
    </row>
    <row r="86" spans="1:16" ht="47.25">
      <c r="A86" s="3" t="s">
        <v>137</v>
      </c>
      <c r="B86" s="36" t="s">
        <v>198</v>
      </c>
      <c r="C86" s="3" t="s">
        <v>151</v>
      </c>
      <c r="D86" s="3" t="s">
        <v>75</v>
      </c>
      <c r="E86" s="5" t="s">
        <v>184</v>
      </c>
      <c r="F86" s="3" t="s">
        <v>123</v>
      </c>
      <c r="G86" s="3" t="s">
        <v>28</v>
      </c>
      <c r="H86" s="6">
        <v>0</v>
      </c>
      <c r="I86" s="6">
        <f t="shared" si="26"/>
        <v>62023</v>
      </c>
      <c r="J86" s="6">
        <f>J23</f>
        <v>62023</v>
      </c>
      <c r="K86" s="6">
        <v>0</v>
      </c>
      <c r="L86" s="6">
        <v>0</v>
      </c>
      <c r="M86" s="6">
        <v>0</v>
      </c>
      <c r="N86" s="6">
        <f t="shared" ref="N86:N88" si="27">I86*0.8938636</f>
        <v>55440.102062799997</v>
      </c>
      <c r="O86" s="6">
        <f t="shared" ref="O86:O88" si="28">I86*0.827659</f>
        <v>51333.894157000002</v>
      </c>
      <c r="P86" s="7"/>
    </row>
    <row r="87" spans="1:16" s="15" customFormat="1" ht="117" customHeight="1">
      <c r="A87" s="9" t="s">
        <v>138</v>
      </c>
      <c r="B87" s="10" t="s">
        <v>191</v>
      </c>
      <c r="C87" s="9" t="s">
        <v>153</v>
      </c>
      <c r="D87" s="9" t="s">
        <v>75</v>
      </c>
      <c r="E87" s="11" t="s">
        <v>192</v>
      </c>
      <c r="F87" s="9" t="s">
        <v>103</v>
      </c>
      <c r="G87" s="9" t="s">
        <v>28</v>
      </c>
      <c r="H87" s="13">
        <v>0</v>
      </c>
      <c r="I87" s="13">
        <f t="shared" si="26"/>
        <v>449200</v>
      </c>
      <c r="J87" s="13">
        <f>477700-28500</f>
        <v>449200</v>
      </c>
      <c r="K87" s="13">
        <v>0</v>
      </c>
      <c r="L87" s="13">
        <v>0</v>
      </c>
      <c r="M87" s="13">
        <v>0</v>
      </c>
      <c r="N87" s="12">
        <f t="shared" si="27"/>
        <v>401523.52911999996</v>
      </c>
      <c r="O87" s="12">
        <f t="shared" si="28"/>
        <v>371784.4228</v>
      </c>
      <c r="P87" s="14"/>
    </row>
    <row r="88" spans="1:16" s="15" customFormat="1" ht="101.25" customHeight="1">
      <c r="A88" s="9" t="s">
        <v>139</v>
      </c>
      <c r="B88" s="10" t="s">
        <v>193</v>
      </c>
      <c r="C88" s="9" t="s">
        <v>153</v>
      </c>
      <c r="D88" s="9" t="s">
        <v>194</v>
      </c>
      <c r="E88" s="11" t="s">
        <v>195</v>
      </c>
      <c r="F88" s="9" t="s">
        <v>103</v>
      </c>
      <c r="G88" s="9" t="s">
        <v>28</v>
      </c>
      <c r="H88" s="13">
        <v>0</v>
      </c>
      <c r="I88" s="13">
        <f t="shared" si="26"/>
        <v>949100</v>
      </c>
      <c r="J88" s="13">
        <f>955600-6500</f>
        <v>949100</v>
      </c>
      <c r="K88" s="13">
        <v>0</v>
      </c>
      <c r="L88" s="13">
        <v>0</v>
      </c>
      <c r="M88" s="13">
        <v>0</v>
      </c>
      <c r="N88" s="12">
        <f t="shared" si="27"/>
        <v>848365.94276000001</v>
      </c>
      <c r="O88" s="12">
        <f t="shared" si="28"/>
        <v>785531.15690000006</v>
      </c>
      <c r="P88" s="14"/>
    </row>
    <row r="89" spans="1:16" ht="15.75">
      <c r="A89" s="3" t="s">
        <v>140</v>
      </c>
      <c r="B89" s="4" t="s">
        <v>141</v>
      </c>
      <c r="C89" s="3" t="s">
        <v>181</v>
      </c>
      <c r="D89" s="3" t="s">
        <v>181</v>
      </c>
      <c r="E89" s="5">
        <v>0</v>
      </c>
      <c r="F89" s="3" t="s">
        <v>28</v>
      </c>
      <c r="G89" s="3" t="s">
        <v>28</v>
      </c>
      <c r="H89" s="6">
        <v>0</v>
      </c>
      <c r="I89" s="6">
        <f>J89+K89+L89+M89</f>
        <v>0</v>
      </c>
      <c r="J89" s="6">
        <v>0</v>
      </c>
      <c r="K89" s="6">
        <v>0</v>
      </c>
      <c r="L89" s="6">
        <v>0</v>
      </c>
      <c r="M89" s="6">
        <v>0</v>
      </c>
      <c r="N89" s="26">
        <f>I89*0.8938636</f>
        <v>0</v>
      </c>
      <c r="O89" s="26">
        <f>I89*0.827659</f>
        <v>0</v>
      </c>
      <c r="P89" s="7"/>
    </row>
    <row r="90" spans="1:16" ht="195" customHeight="1">
      <c r="A90" s="3" t="s">
        <v>142</v>
      </c>
      <c r="B90" s="4" t="s">
        <v>143</v>
      </c>
      <c r="C90" s="3" t="s">
        <v>180</v>
      </c>
      <c r="D90" s="3" t="s">
        <v>185</v>
      </c>
      <c r="E90" s="5" t="s">
        <v>27</v>
      </c>
      <c r="F90" s="3" t="s">
        <v>123</v>
      </c>
      <c r="G90" s="3" t="s">
        <v>28</v>
      </c>
      <c r="H90" s="6">
        <v>0</v>
      </c>
      <c r="I90" s="6">
        <f>J90+K90+L90+M90</f>
        <v>104000</v>
      </c>
      <c r="J90" s="6">
        <v>104000</v>
      </c>
      <c r="K90" s="6">
        <v>0</v>
      </c>
      <c r="L90" s="6">
        <v>0</v>
      </c>
      <c r="M90" s="6">
        <v>0</v>
      </c>
      <c r="N90" s="31">
        <f>I90*0.8938636</f>
        <v>92961.814400000003</v>
      </c>
      <c r="O90" s="31">
        <f>I90*0.827659</f>
        <v>86076.536000000007</v>
      </c>
      <c r="P90" s="7"/>
    </row>
    <row r="91" spans="1:16" ht="15.75">
      <c r="A91" s="5" t="s">
        <v>144</v>
      </c>
      <c r="B91" s="4" t="s">
        <v>145</v>
      </c>
      <c r="C91" s="3"/>
      <c r="D91" s="3"/>
      <c r="E91" s="5"/>
      <c r="F91" s="4"/>
      <c r="G91" s="4"/>
      <c r="H91" s="6">
        <v>0</v>
      </c>
      <c r="I91" s="6">
        <v>0</v>
      </c>
      <c r="J91" s="6" t="s">
        <v>29</v>
      </c>
      <c r="K91" s="6" t="s">
        <v>29</v>
      </c>
      <c r="L91" s="6" t="s">
        <v>29</v>
      </c>
      <c r="M91" s="6" t="s">
        <v>29</v>
      </c>
      <c r="N91" s="6"/>
      <c r="O91" s="6"/>
    </row>
    <row r="92" spans="1:16" ht="15.75">
      <c r="A92" s="5" t="s">
        <v>146</v>
      </c>
      <c r="B92" s="4" t="s">
        <v>147</v>
      </c>
      <c r="C92" s="3"/>
      <c r="D92" s="3"/>
      <c r="E92" s="5"/>
      <c r="F92" s="4"/>
      <c r="G92" s="4"/>
      <c r="H92" s="6">
        <f t="shared" ref="H92:H93" si="29">I92+N92+O92</f>
        <v>0</v>
      </c>
      <c r="I92" s="6">
        <f t="shared" ref="I92:I93" si="30">J92+K92+L92+M92</f>
        <v>0</v>
      </c>
      <c r="J92" s="6"/>
      <c r="K92" s="6"/>
      <c r="L92" s="6"/>
      <c r="M92" s="6"/>
      <c r="N92" s="6"/>
      <c r="O92" s="6"/>
    </row>
    <row r="93" spans="1:16" ht="190.5" customHeight="1">
      <c r="A93" s="5"/>
      <c r="B93" s="4" t="s">
        <v>148</v>
      </c>
      <c r="C93" s="3"/>
      <c r="D93" s="3"/>
      <c r="E93" s="5"/>
      <c r="F93" s="4"/>
      <c r="G93" s="4"/>
      <c r="H93" s="6">
        <f t="shared" si="29"/>
        <v>0</v>
      </c>
      <c r="I93" s="6">
        <f t="shared" si="30"/>
        <v>0</v>
      </c>
      <c r="J93" s="6"/>
      <c r="K93" s="6"/>
      <c r="L93" s="6"/>
      <c r="M93" s="6"/>
      <c r="N93" s="6"/>
      <c r="O93" s="6"/>
    </row>
    <row r="94" spans="1:16" ht="15.75">
      <c r="A94" s="29"/>
      <c r="F94"/>
      <c r="G94"/>
    </row>
    <row r="95" spans="1:16" ht="15.75">
      <c r="A95" s="30" t="s">
        <v>159</v>
      </c>
      <c r="D95" s="44" t="s">
        <v>154</v>
      </c>
      <c r="E95" s="44"/>
      <c r="F95" s="32" t="s">
        <v>160</v>
      </c>
      <c r="G95" s="32"/>
    </row>
    <row r="96" spans="1:16" ht="15.75">
      <c r="A96" s="29"/>
      <c r="F96" s="32"/>
      <c r="G96" s="32"/>
    </row>
    <row r="97" spans="1:7" ht="15.75">
      <c r="A97" s="30" t="s">
        <v>149</v>
      </c>
      <c r="D97" s="44" t="s">
        <v>154</v>
      </c>
      <c r="E97" s="44"/>
      <c r="F97" s="32" t="s">
        <v>155</v>
      </c>
      <c r="G97" s="32"/>
    </row>
    <row r="98" spans="1:7" ht="15.75">
      <c r="A98" s="29"/>
      <c r="F98"/>
      <c r="G98"/>
    </row>
    <row r="99" spans="1:7" ht="15.75">
      <c r="A99" s="29" t="s">
        <v>150</v>
      </c>
      <c r="F99"/>
      <c r="G99"/>
    </row>
    <row r="100" spans="1:7" ht="0.75" customHeight="1">
      <c r="A100" s="29"/>
      <c r="F100"/>
      <c r="G100"/>
    </row>
    <row r="101" spans="1:7" ht="15.75">
      <c r="A101" s="29" t="s">
        <v>156</v>
      </c>
      <c r="C101" s="45" t="s">
        <v>157</v>
      </c>
      <c r="D101" s="45"/>
      <c r="E101" s="45"/>
      <c r="F101"/>
      <c r="G101"/>
    </row>
    <row r="102" spans="1:7" ht="15.75">
      <c r="A102" s="29" t="s">
        <v>158</v>
      </c>
      <c r="F102"/>
      <c r="G102"/>
    </row>
    <row r="103" spans="1:7" ht="15.75">
      <c r="A103" s="29" t="s">
        <v>202</v>
      </c>
      <c r="F103"/>
      <c r="G103"/>
    </row>
  </sheetData>
  <mergeCells count="16">
    <mergeCell ref="C101:E101"/>
    <mergeCell ref="B2:I2"/>
    <mergeCell ref="A4:A9"/>
    <mergeCell ref="B4:B9"/>
    <mergeCell ref="C4:C9"/>
    <mergeCell ref="D4:D9"/>
    <mergeCell ref="E4:E9"/>
    <mergeCell ref="F4:F9"/>
    <mergeCell ref="G4:G9"/>
    <mergeCell ref="H4:H9"/>
    <mergeCell ref="I4:O4"/>
    <mergeCell ref="I5:M6"/>
    <mergeCell ref="I7:I9"/>
    <mergeCell ref="J7:M7"/>
    <mergeCell ref="D95:E95"/>
    <mergeCell ref="D97:E97"/>
  </mergeCells>
  <pageMargins left="0.98425196850393704" right="0" top="0.98425196850393704" bottom="0" header="0.19685039370078741" footer="0.31496062992125984"/>
  <pageSetup paperSize="9" scale="42" fitToWidth="2" fitToHeight="2" orientation="portrait" r:id="rId1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view="pageBreakPreview" topLeftCell="A85" zoomScale="60" workbookViewId="0">
      <selection activeCell="J87" sqref="J87"/>
    </sheetView>
  </sheetViews>
  <sheetFormatPr defaultColWidth="12.7109375" defaultRowHeight="15"/>
  <cols>
    <col min="1" max="1" width="7.28515625" style="38" customWidth="1"/>
    <col min="2" max="2" width="25.42578125" customWidth="1"/>
    <col min="3" max="4" width="9.7109375" style="38" customWidth="1"/>
    <col min="5" max="5" width="16.28515625" style="1" customWidth="1"/>
    <col min="6" max="6" width="9.140625" style="38" customWidth="1"/>
    <col min="7" max="7" width="10" style="38" customWidth="1"/>
    <col min="8" max="8" width="7.5703125" customWidth="1"/>
    <col min="9" max="9" width="16.85546875" customWidth="1"/>
    <col min="10" max="10" width="15.42578125" customWidth="1"/>
    <col min="11" max="11" width="16" customWidth="1"/>
    <col min="12" max="12" width="14.7109375" customWidth="1"/>
    <col min="13" max="14" width="15.28515625" customWidth="1"/>
    <col min="15" max="15" width="14.7109375" customWidth="1"/>
    <col min="257" max="257" width="7.28515625" customWidth="1"/>
    <col min="258" max="258" width="24.85546875" customWidth="1"/>
    <col min="264" max="264" width="14.140625" customWidth="1"/>
    <col min="513" max="513" width="7.28515625" customWidth="1"/>
    <col min="514" max="514" width="24.85546875" customWidth="1"/>
    <col min="520" max="520" width="14.140625" customWidth="1"/>
    <col min="769" max="769" width="7.28515625" customWidth="1"/>
    <col min="770" max="770" width="24.85546875" customWidth="1"/>
    <col min="776" max="776" width="14.140625" customWidth="1"/>
    <col min="1025" max="1025" width="7.28515625" customWidth="1"/>
    <col min="1026" max="1026" width="24.85546875" customWidth="1"/>
    <col min="1032" max="1032" width="14.140625" customWidth="1"/>
    <col min="1281" max="1281" width="7.28515625" customWidth="1"/>
    <col min="1282" max="1282" width="24.85546875" customWidth="1"/>
    <col min="1288" max="1288" width="14.140625" customWidth="1"/>
    <col min="1537" max="1537" width="7.28515625" customWidth="1"/>
    <col min="1538" max="1538" width="24.85546875" customWidth="1"/>
    <col min="1544" max="1544" width="14.140625" customWidth="1"/>
    <col min="1793" max="1793" width="7.28515625" customWidth="1"/>
    <col min="1794" max="1794" width="24.85546875" customWidth="1"/>
    <col min="1800" max="1800" width="14.140625" customWidth="1"/>
    <col min="2049" max="2049" width="7.28515625" customWidth="1"/>
    <col min="2050" max="2050" width="24.85546875" customWidth="1"/>
    <col min="2056" max="2056" width="14.140625" customWidth="1"/>
    <col min="2305" max="2305" width="7.28515625" customWidth="1"/>
    <col min="2306" max="2306" width="24.85546875" customWidth="1"/>
    <col min="2312" max="2312" width="14.140625" customWidth="1"/>
    <col min="2561" max="2561" width="7.28515625" customWidth="1"/>
    <col min="2562" max="2562" width="24.85546875" customWidth="1"/>
    <col min="2568" max="2568" width="14.140625" customWidth="1"/>
    <col min="2817" max="2817" width="7.28515625" customWidth="1"/>
    <col min="2818" max="2818" width="24.85546875" customWidth="1"/>
    <col min="2824" max="2824" width="14.140625" customWidth="1"/>
    <col min="3073" max="3073" width="7.28515625" customWidth="1"/>
    <col min="3074" max="3074" width="24.85546875" customWidth="1"/>
    <col min="3080" max="3080" width="14.140625" customWidth="1"/>
    <col min="3329" max="3329" width="7.28515625" customWidth="1"/>
    <col min="3330" max="3330" width="24.85546875" customWidth="1"/>
    <col min="3336" max="3336" width="14.140625" customWidth="1"/>
    <col min="3585" max="3585" width="7.28515625" customWidth="1"/>
    <col min="3586" max="3586" width="24.85546875" customWidth="1"/>
    <col min="3592" max="3592" width="14.140625" customWidth="1"/>
    <col min="3841" max="3841" width="7.28515625" customWidth="1"/>
    <col min="3842" max="3842" width="24.85546875" customWidth="1"/>
    <col min="3848" max="3848" width="14.140625" customWidth="1"/>
    <col min="4097" max="4097" width="7.28515625" customWidth="1"/>
    <col min="4098" max="4098" width="24.85546875" customWidth="1"/>
    <col min="4104" max="4104" width="14.140625" customWidth="1"/>
    <col min="4353" max="4353" width="7.28515625" customWidth="1"/>
    <col min="4354" max="4354" width="24.85546875" customWidth="1"/>
    <col min="4360" max="4360" width="14.140625" customWidth="1"/>
    <col min="4609" max="4609" width="7.28515625" customWidth="1"/>
    <col min="4610" max="4610" width="24.85546875" customWidth="1"/>
    <col min="4616" max="4616" width="14.140625" customWidth="1"/>
    <col min="4865" max="4865" width="7.28515625" customWidth="1"/>
    <col min="4866" max="4866" width="24.85546875" customWidth="1"/>
    <col min="4872" max="4872" width="14.140625" customWidth="1"/>
    <col min="5121" max="5121" width="7.28515625" customWidth="1"/>
    <col min="5122" max="5122" width="24.85546875" customWidth="1"/>
    <col min="5128" max="5128" width="14.140625" customWidth="1"/>
    <col min="5377" max="5377" width="7.28515625" customWidth="1"/>
    <col min="5378" max="5378" width="24.85546875" customWidth="1"/>
    <col min="5384" max="5384" width="14.140625" customWidth="1"/>
    <col min="5633" max="5633" width="7.28515625" customWidth="1"/>
    <col min="5634" max="5634" width="24.85546875" customWidth="1"/>
    <col min="5640" max="5640" width="14.140625" customWidth="1"/>
    <col min="5889" max="5889" width="7.28515625" customWidth="1"/>
    <col min="5890" max="5890" width="24.85546875" customWidth="1"/>
    <col min="5896" max="5896" width="14.140625" customWidth="1"/>
    <col min="6145" max="6145" width="7.28515625" customWidth="1"/>
    <col min="6146" max="6146" width="24.85546875" customWidth="1"/>
    <col min="6152" max="6152" width="14.140625" customWidth="1"/>
    <col min="6401" max="6401" width="7.28515625" customWidth="1"/>
    <col min="6402" max="6402" width="24.85546875" customWidth="1"/>
    <col min="6408" max="6408" width="14.140625" customWidth="1"/>
    <col min="6657" max="6657" width="7.28515625" customWidth="1"/>
    <col min="6658" max="6658" width="24.85546875" customWidth="1"/>
    <col min="6664" max="6664" width="14.140625" customWidth="1"/>
    <col min="6913" max="6913" width="7.28515625" customWidth="1"/>
    <col min="6914" max="6914" width="24.85546875" customWidth="1"/>
    <col min="6920" max="6920" width="14.140625" customWidth="1"/>
    <col min="7169" max="7169" width="7.28515625" customWidth="1"/>
    <col min="7170" max="7170" width="24.85546875" customWidth="1"/>
    <col min="7176" max="7176" width="14.140625" customWidth="1"/>
    <col min="7425" max="7425" width="7.28515625" customWidth="1"/>
    <col min="7426" max="7426" width="24.85546875" customWidth="1"/>
    <col min="7432" max="7432" width="14.140625" customWidth="1"/>
    <col min="7681" max="7681" width="7.28515625" customWidth="1"/>
    <col min="7682" max="7682" width="24.85546875" customWidth="1"/>
    <col min="7688" max="7688" width="14.140625" customWidth="1"/>
    <col min="7937" max="7937" width="7.28515625" customWidth="1"/>
    <col min="7938" max="7938" width="24.85546875" customWidth="1"/>
    <col min="7944" max="7944" width="14.140625" customWidth="1"/>
    <col min="8193" max="8193" width="7.28515625" customWidth="1"/>
    <col min="8194" max="8194" width="24.85546875" customWidth="1"/>
    <col min="8200" max="8200" width="14.140625" customWidth="1"/>
    <col min="8449" max="8449" width="7.28515625" customWidth="1"/>
    <col min="8450" max="8450" width="24.85546875" customWidth="1"/>
    <col min="8456" max="8456" width="14.140625" customWidth="1"/>
    <col min="8705" max="8705" width="7.28515625" customWidth="1"/>
    <col min="8706" max="8706" width="24.85546875" customWidth="1"/>
    <col min="8712" max="8712" width="14.140625" customWidth="1"/>
    <col min="8961" max="8961" width="7.28515625" customWidth="1"/>
    <col min="8962" max="8962" width="24.85546875" customWidth="1"/>
    <col min="8968" max="8968" width="14.140625" customWidth="1"/>
    <col min="9217" max="9217" width="7.28515625" customWidth="1"/>
    <col min="9218" max="9218" width="24.85546875" customWidth="1"/>
    <col min="9224" max="9224" width="14.140625" customWidth="1"/>
    <col min="9473" max="9473" width="7.28515625" customWidth="1"/>
    <col min="9474" max="9474" width="24.85546875" customWidth="1"/>
    <col min="9480" max="9480" width="14.140625" customWidth="1"/>
    <col min="9729" max="9729" width="7.28515625" customWidth="1"/>
    <col min="9730" max="9730" width="24.85546875" customWidth="1"/>
    <col min="9736" max="9736" width="14.140625" customWidth="1"/>
    <col min="9985" max="9985" width="7.28515625" customWidth="1"/>
    <col min="9986" max="9986" width="24.85546875" customWidth="1"/>
    <col min="9992" max="9992" width="14.140625" customWidth="1"/>
    <col min="10241" max="10241" width="7.28515625" customWidth="1"/>
    <col min="10242" max="10242" width="24.85546875" customWidth="1"/>
    <col min="10248" max="10248" width="14.140625" customWidth="1"/>
    <col min="10497" max="10497" width="7.28515625" customWidth="1"/>
    <col min="10498" max="10498" width="24.85546875" customWidth="1"/>
    <col min="10504" max="10504" width="14.140625" customWidth="1"/>
    <col min="10753" max="10753" width="7.28515625" customWidth="1"/>
    <col min="10754" max="10754" width="24.85546875" customWidth="1"/>
    <col min="10760" max="10760" width="14.140625" customWidth="1"/>
    <col min="11009" max="11009" width="7.28515625" customWidth="1"/>
    <col min="11010" max="11010" width="24.85546875" customWidth="1"/>
    <col min="11016" max="11016" width="14.140625" customWidth="1"/>
    <col min="11265" max="11265" width="7.28515625" customWidth="1"/>
    <col min="11266" max="11266" width="24.85546875" customWidth="1"/>
    <col min="11272" max="11272" width="14.140625" customWidth="1"/>
    <col min="11521" max="11521" width="7.28515625" customWidth="1"/>
    <col min="11522" max="11522" width="24.85546875" customWidth="1"/>
    <col min="11528" max="11528" width="14.140625" customWidth="1"/>
    <col min="11777" max="11777" width="7.28515625" customWidth="1"/>
    <col min="11778" max="11778" width="24.85546875" customWidth="1"/>
    <col min="11784" max="11784" width="14.140625" customWidth="1"/>
    <col min="12033" max="12033" width="7.28515625" customWidth="1"/>
    <col min="12034" max="12034" width="24.85546875" customWidth="1"/>
    <col min="12040" max="12040" width="14.140625" customWidth="1"/>
    <col min="12289" max="12289" width="7.28515625" customWidth="1"/>
    <col min="12290" max="12290" width="24.85546875" customWidth="1"/>
    <col min="12296" max="12296" width="14.140625" customWidth="1"/>
    <col min="12545" max="12545" width="7.28515625" customWidth="1"/>
    <col min="12546" max="12546" width="24.85546875" customWidth="1"/>
    <col min="12552" max="12552" width="14.140625" customWidth="1"/>
    <col min="12801" max="12801" width="7.28515625" customWidth="1"/>
    <col min="12802" max="12802" width="24.85546875" customWidth="1"/>
    <col min="12808" max="12808" width="14.140625" customWidth="1"/>
    <col min="13057" max="13057" width="7.28515625" customWidth="1"/>
    <col min="13058" max="13058" width="24.85546875" customWidth="1"/>
    <col min="13064" max="13064" width="14.140625" customWidth="1"/>
    <col min="13313" max="13313" width="7.28515625" customWidth="1"/>
    <col min="13314" max="13314" width="24.85546875" customWidth="1"/>
    <col min="13320" max="13320" width="14.140625" customWidth="1"/>
    <col min="13569" max="13569" width="7.28515625" customWidth="1"/>
    <col min="13570" max="13570" width="24.85546875" customWidth="1"/>
    <col min="13576" max="13576" width="14.140625" customWidth="1"/>
    <col min="13825" max="13825" width="7.28515625" customWidth="1"/>
    <col min="13826" max="13826" width="24.85546875" customWidth="1"/>
    <col min="13832" max="13832" width="14.140625" customWidth="1"/>
    <col min="14081" max="14081" width="7.28515625" customWidth="1"/>
    <col min="14082" max="14082" width="24.85546875" customWidth="1"/>
    <col min="14088" max="14088" width="14.140625" customWidth="1"/>
    <col min="14337" max="14337" width="7.28515625" customWidth="1"/>
    <col min="14338" max="14338" width="24.85546875" customWidth="1"/>
    <col min="14344" max="14344" width="14.140625" customWidth="1"/>
    <col min="14593" max="14593" width="7.28515625" customWidth="1"/>
    <col min="14594" max="14594" width="24.85546875" customWidth="1"/>
    <col min="14600" max="14600" width="14.140625" customWidth="1"/>
    <col min="14849" max="14849" width="7.28515625" customWidth="1"/>
    <col min="14850" max="14850" width="24.85546875" customWidth="1"/>
    <col min="14856" max="14856" width="14.140625" customWidth="1"/>
    <col min="15105" max="15105" width="7.28515625" customWidth="1"/>
    <col min="15106" max="15106" width="24.85546875" customWidth="1"/>
    <col min="15112" max="15112" width="14.140625" customWidth="1"/>
    <col min="15361" max="15361" width="7.28515625" customWidth="1"/>
    <col min="15362" max="15362" width="24.85546875" customWidth="1"/>
    <col min="15368" max="15368" width="14.140625" customWidth="1"/>
    <col min="15617" max="15617" width="7.28515625" customWidth="1"/>
    <col min="15618" max="15618" width="24.85546875" customWidth="1"/>
    <col min="15624" max="15624" width="14.140625" customWidth="1"/>
    <col min="15873" max="15873" width="7.28515625" customWidth="1"/>
    <col min="15874" max="15874" width="24.85546875" customWidth="1"/>
    <col min="15880" max="15880" width="14.140625" customWidth="1"/>
    <col min="16129" max="16129" width="7.28515625" customWidth="1"/>
    <col min="16130" max="16130" width="24.85546875" customWidth="1"/>
    <col min="16136" max="16136" width="14.140625" customWidth="1"/>
  </cols>
  <sheetData>
    <row r="2" spans="1:16" ht="15.75">
      <c r="B2" s="46" t="s">
        <v>200</v>
      </c>
      <c r="C2" s="46"/>
      <c r="D2" s="46"/>
      <c r="E2" s="46"/>
      <c r="F2" s="46"/>
      <c r="G2" s="46"/>
      <c r="H2" s="46"/>
      <c r="I2" s="46"/>
    </row>
    <row r="3" spans="1:16" ht="16.5" customHeight="1"/>
    <row r="4" spans="1:16">
      <c r="A4" s="42" t="s">
        <v>0</v>
      </c>
      <c r="B4" s="43" t="s">
        <v>1</v>
      </c>
      <c r="C4" s="42" t="s">
        <v>2</v>
      </c>
      <c r="D4" s="42" t="s">
        <v>3</v>
      </c>
      <c r="E4" s="43" t="s">
        <v>4</v>
      </c>
      <c r="F4" s="42" t="s">
        <v>5</v>
      </c>
      <c r="G4" s="42" t="s">
        <v>6</v>
      </c>
      <c r="H4" s="43" t="s">
        <v>7</v>
      </c>
      <c r="I4" s="43" t="s">
        <v>8</v>
      </c>
      <c r="J4" s="43"/>
      <c r="K4" s="43"/>
      <c r="L4" s="43"/>
      <c r="M4" s="43"/>
      <c r="N4" s="43"/>
      <c r="O4" s="43"/>
    </row>
    <row r="5" spans="1:16">
      <c r="A5" s="42"/>
      <c r="B5" s="43"/>
      <c r="C5" s="42"/>
      <c r="D5" s="42"/>
      <c r="E5" s="43"/>
      <c r="F5" s="42"/>
      <c r="G5" s="42"/>
      <c r="H5" s="43"/>
      <c r="I5" s="43" t="s">
        <v>9</v>
      </c>
      <c r="J5" s="43"/>
      <c r="K5" s="43"/>
      <c r="L5" s="43"/>
      <c r="M5" s="43"/>
      <c r="N5" s="39" t="s">
        <v>10</v>
      </c>
      <c r="O5" s="39" t="s">
        <v>11</v>
      </c>
    </row>
    <row r="6" spans="1:16">
      <c r="A6" s="42"/>
      <c r="B6" s="43"/>
      <c r="C6" s="42"/>
      <c r="D6" s="42"/>
      <c r="E6" s="43"/>
      <c r="F6" s="42"/>
      <c r="G6" s="42"/>
      <c r="H6" s="43"/>
      <c r="I6" s="43"/>
      <c r="J6" s="43"/>
      <c r="K6" s="43"/>
      <c r="L6" s="43"/>
      <c r="M6" s="43"/>
      <c r="N6" s="39" t="s">
        <v>12</v>
      </c>
      <c r="O6" s="39" t="s">
        <v>13</v>
      </c>
    </row>
    <row r="7" spans="1:16">
      <c r="A7" s="42"/>
      <c r="B7" s="43"/>
      <c r="C7" s="42"/>
      <c r="D7" s="42"/>
      <c r="E7" s="43"/>
      <c r="F7" s="42"/>
      <c r="G7" s="42"/>
      <c r="H7" s="43"/>
      <c r="I7" s="43" t="s">
        <v>14</v>
      </c>
      <c r="J7" s="43" t="s">
        <v>15</v>
      </c>
      <c r="K7" s="43"/>
      <c r="L7" s="43"/>
      <c r="M7" s="43"/>
      <c r="N7" s="39" t="s">
        <v>16</v>
      </c>
      <c r="O7" s="39" t="s">
        <v>17</v>
      </c>
    </row>
    <row r="8" spans="1:16">
      <c r="A8" s="42"/>
      <c r="B8" s="43"/>
      <c r="C8" s="42"/>
      <c r="D8" s="42"/>
      <c r="E8" s="43"/>
      <c r="F8" s="42"/>
      <c r="G8" s="42"/>
      <c r="H8" s="43"/>
      <c r="I8" s="43"/>
      <c r="J8" s="39" t="s">
        <v>18</v>
      </c>
      <c r="K8" s="39" t="s">
        <v>19</v>
      </c>
      <c r="L8" s="39" t="s">
        <v>20</v>
      </c>
      <c r="M8" s="39" t="s">
        <v>21</v>
      </c>
      <c r="N8" s="2"/>
      <c r="O8" s="39" t="s">
        <v>22</v>
      </c>
    </row>
    <row r="9" spans="1:16">
      <c r="A9" s="42"/>
      <c r="B9" s="43"/>
      <c r="C9" s="42"/>
      <c r="D9" s="42"/>
      <c r="E9" s="43"/>
      <c r="F9" s="42"/>
      <c r="G9" s="42"/>
      <c r="H9" s="43"/>
      <c r="I9" s="43"/>
      <c r="J9" s="39" t="s">
        <v>23</v>
      </c>
      <c r="K9" s="39" t="s">
        <v>23</v>
      </c>
      <c r="L9" s="39" t="s">
        <v>23</v>
      </c>
      <c r="M9" s="39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31</v>
      </c>
      <c r="C11" s="3" t="s">
        <v>26</v>
      </c>
      <c r="D11" s="3"/>
      <c r="E11" s="5" t="s">
        <v>32</v>
      </c>
      <c r="F11" s="3" t="s">
        <v>28</v>
      </c>
      <c r="G11" s="3" t="s">
        <v>28</v>
      </c>
      <c r="H11" s="8">
        <v>0</v>
      </c>
      <c r="I11" s="6">
        <f t="shared" ref="I11:O11" si="0">I13+I18+I26+I27</f>
        <v>8279163.2999999998</v>
      </c>
      <c r="J11" s="6">
        <f t="shared" si="0"/>
        <v>8279163.2999999998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7177691.903205879</v>
      </c>
      <c r="O11" s="8">
        <f t="shared" si="0"/>
        <v>6646071.3949147006</v>
      </c>
      <c r="P11" s="7"/>
    </row>
    <row r="12" spans="1:16" ht="15.75">
      <c r="A12" s="3"/>
      <c r="B12" s="4" t="s">
        <v>33</v>
      </c>
      <c r="C12" s="3"/>
      <c r="D12" s="3"/>
      <c r="E12" s="5"/>
      <c r="F12" s="3"/>
      <c r="G12" s="3"/>
      <c r="H12" s="8"/>
      <c r="I12" s="6"/>
      <c r="J12" s="6"/>
      <c r="K12" s="8"/>
      <c r="L12" s="8"/>
      <c r="M12" s="8"/>
      <c r="N12" s="8"/>
      <c r="O12" s="8"/>
      <c r="P12" s="7"/>
    </row>
    <row r="13" spans="1:16" ht="63">
      <c r="A13" s="3" t="s">
        <v>34</v>
      </c>
      <c r="B13" s="4" t="s">
        <v>35</v>
      </c>
      <c r="C13" s="3" t="s">
        <v>36</v>
      </c>
      <c r="D13" s="3"/>
      <c r="E13" s="5" t="s">
        <v>32</v>
      </c>
      <c r="F13" s="3" t="s">
        <v>37</v>
      </c>
      <c r="G13" s="3" t="s">
        <v>28</v>
      </c>
      <c r="H13" s="8">
        <v>0</v>
      </c>
      <c r="I13" s="6">
        <f>J13+K13+L13+M13</f>
        <v>7708900.2999999998</v>
      </c>
      <c r="J13" s="6">
        <f t="shared" ref="J13:O13" si="1">J15+J17+J16</f>
        <v>7708900.2999999998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6890705.3741990793</v>
      </c>
      <c r="O13" s="8">
        <f t="shared" si="1"/>
        <v>6380340.7133977003</v>
      </c>
      <c r="P13" s="7"/>
    </row>
    <row r="14" spans="1:16" ht="15.75">
      <c r="A14" s="3"/>
      <c r="B14" s="4" t="s">
        <v>33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s="15" customFormat="1" ht="87.75" customHeight="1">
      <c r="A15" s="9" t="s">
        <v>38</v>
      </c>
      <c r="B15" s="10" t="s">
        <v>39</v>
      </c>
      <c r="C15" s="9" t="s">
        <v>36</v>
      </c>
      <c r="D15" s="9" t="s">
        <v>40</v>
      </c>
      <c r="E15" s="11" t="s">
        <v>32</v>
      </c>
      <c r="F15" s="9" t="s">
        <v>37</v>
      </c>
      <c r="G15" s="9" t="s">
        <v>28</v>
      </c>
      <c r="H15" s="12">
        <v>0</v>
      </c>
      <c r="I15" s="13">
        <f>I35+I39+I41+I46+I48+I49+I63+I80+I68+I42+I75</f>
        <v>4799265</v>
      </c>
      <c r="J15" s="13">
        <f>J35+J39+J41+J46+J48+J49+J63+J80+J68+J42+J75</f>
        <v>4799265</v>
      </c>
      <c r="K15" s="13">
        <f t="shared" ref="K15:M15" si="2">K35+K39+K41+K46+K48+K49+K63+K76+K80+K68+K42</f>
        <v>0</v>
      </c>
      <c r="L15" s="13">
        <f t="shared" si="2"/>
        <v>0</v>
      </c>
      <c r="M15" s="13">
        <f t="shared" si="2"/>
        <v>0</v>
      </c>
      <c r="N15" s="12">
        <f>I15*0.8938636</f>
        <v>4289888.2902539996</v>
      </c>
      <c r="O15" s="12">
        <f>I15*0.827659</f>
        <v>3972154.8706350001</v>
      </c>
      <c r="P15" s="14"/>
    </row>
    <row r="16" spans="1:16" s="22" customFormat="1" ht="87" customHeight="1">
      <c r="A16" s="16" t="s">
        <v>41</v>
      </c>
      <c r="B16" s="17" t="s">
        <v>42</v>
      </c>
      <c r="C16" s="16" t="s">
        <v>36</v>
      </c>
      <c r="D16" s="16" t="s">
        <v>75</v>
      </c>
      <c r="E16" s="18" t="s">
        <v>32</v>
      </c>
      <c r="F16" s="16" t="s">
        <v>37</v>
      </c>
      <c r="G16" s="16" t="s">
        <v>28</v>
      </c>
      <c r="H16" s="19">
        <v>0</v>
      </c>
      <c r="I16" s="20">
        <f>I36+I43+I47+I50+I58+I64+I77+I40+I81</f>
        <v>2859082</v>
      </c>
      <c r="J16" s="20">
        <f>J36+J43+J47+J50+J58+J64+J77+J40+J81</f>
        <v>2859082</v>
      </c>
      <c r="K16" s="20">
        <f>K36+K43+K47+K50+K58+K64+K77+K40+K81+K75</f>
        <v>0</v>
      </c>
      <c r="L16" s="20">
        <f>L36+L43+L47+L50+L58+L64+L77+L40+L81+L75</f>
        <v>0</v>
      </c>
      <c r="M16" s="20">
        <f>M36+M43+M47+M50+M58+M64+M77+M40+M81+M75</f>
        <v>0</v>
      </c>
      <c r="N16" s="19">
        <f>I16*0.8938636</f>
        <v>2555629.3292152002</v>
      </c>
      <c r="O16" s="19">
        <f>I16*0.827659</f>
        <v>2366344.9490380003</v>
      </c>
      <c r="P16" s="21"/>
    </row>
    <row r="17" spans="1:16" ht="126">
      <c r="A17" s="3" t="s">
        <v>43</v>
      </c>
      <c r="B17" s="4" t="s">
        <v>189</v>
      </c>
      <c r="C17" s="3" t="s">
        <v>36</v>
      </c>
      <c r="D17" s="3" t="s">
        <v>188</v>
      </c>
      <c r="E17" s="5" t="s">
        <v>32</v>
      </c>
      <c r="F17" s="3" t="s">
        <v>37</v>
      </c>
      <c r="G17" s="3" t="s">
        <v>28</v>
      </c>
      <c r="H17" s="8">
        <v>0</v>
      </c>
      <c r="I17" s="6">
        <f>J17+K17+L17+M17</f>
        <v>50553.3</v>
      </c>
      <c r="J17" s="6">
        <v>50553.3</v>
      </c>
      <c r="K17" s="6">
        <v>0</v>
      </c>
      <c r="L17" s="6">
        <v>0</v>
      </c>
      <c r="M17" s="6">
        <v>0</v>
      </c>
      <c r="N17" s="8">
        <f>I17*0.8938636</f>
        <v>45187.754729879998</v>
      </c>
      <c r="O17" s="8">
        <f>I17*0.827659</f>
        <v>41840.893724700007</v>
      </c>
      <c r="P17" s="7"/>
    </row>
    <row r="18" spans="1:16" ht="15.75">
      <c r="A18" s="3" t="s">
        <v>44</v>
      </c>
      <c r="B18" s="4" t="s">
        <v>45</v>
      </c>
      <c r="C18" s="3" t="s">
        <v>46</v>
      </c>
      <c r="D18" s="3"/>
      <c r="E18" s="5" t="s">
        <v>32</v>
      </c>
      <c r="F18" s="3" t="s">
        <v>37</v>
      </c>
      <c r="G18" s="3" t="s">
        <v>28</v>
      </c>
      <c r="H18" s="6">
        <v>0</v>
      </c>
      <c r="I18" s="6">
        <f>I20+I21+I22+I23+I24+I25</f>
        <v>466263</v>
      </c>
      <c r="J18" s="6">
        <f>J20+J21+J22+J23+J24+J25</f>
        <v>466263</v>
      </c>
      <c r="K18" s="6">
        <f t="shared" ref="K18:M18" si="3">K20+K21+K22+K23</f>
        <v>0</v>
      </c>
      <c r="L18" s="6">
        <f t="shared" si="3"/>
        <v>0</v>
      </c>
      <c r="M18" s="6">
        <f t="shared" si="3"/>
        <v>0</v>
      </c>
      <c r="N18" s="6">
        <f>SUM(N20:N23)</f>
        <v>194024.7146068</v>
      </c>
      <c r="O18" s="6">
        <f>SUM(O20:O23)</f>
        <v>179654.145517</v>
      </c>
      <c r="P18" s="7"/>
    </row>
    <row r="19" spans="1:16" ht="15.75">
      <c r="A19" s="3"/>
      <c r="B19" s="4" t="s">
        <v>33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s="15" customFormat="1" ht="68.25" customHeight="1">
      <c r="A20" s="9" t="s">
        <v>47</v>
      </c>
      <c r="B20" s="35" t="s">
        <v>196</v>
      </c>
      <c r="C20" s="9" t="s">
        <v>46</v>
      </c>
      <c r="D20" s="9" t="s">
        <v>75</v>
      </c>
      <c r="E20" s="11" t="s">
        <v>182</v>
      </c>
      <c r="F20" s="9" t="s">
        <v>37</v>
      </c>
      <c r="G20" s="9" t="s">
        <v>28</v>
      </c>
      <c r="H20" s="13">
        <v>0</v>
      </c>
      <c r="I20" s="13">
        <f>J20+K20+L20+M20</f>
        <v>64600</v>
      </c>
      <c r="J20" s="13">
        <f>64600</f>
        <v>64600</v>
      </c>
      <c r="K20" s="13">
        <v>0</v>
      </c>
      <c r="L20" s="13">
        <v>0</v>
      </c>
      <c r="M20" s="13">
        <v>0</v>
      </c>
      <c r="N20" s="12">
        <f>I20*0.8938636</f>
        <v>57743.588559999997</v>
      </c>
      <c r="O20" s="12">
        <f>I20*0.827659</f>
        <v>53466.771400000005</v>
      </c>
      <c r="P20" s="14"/>
    </row>
    <row r="21" spans="1:16" s="15" customFormat="1" ht="75" customHeight="1">
      <c r="A21" s="9" t="s">
        <v>48</v>
      </c>
      <c r="B21" s="10" t="s">
        <v>197</v>
      </c>
      <c r="C21" s="9" t="s">
        <v>46</v>
      </c>
      <c r="D21" s="9" t="s">
        <v>49</v>
      </c>
      <c r="E21" s="11" t="s">
        <v>183</v>
      </c>
      <c r="F21" s="9" t="s">
        <v>37</v>
      </c>
      <c r="G21" s="9" t="s">
        <v>28</v>
      </c>
      <c r="H21" s="13">
        <v>0</v>
      </c>
      <c r="I21" s="13">
        <f t="shared" ref="I21:I27" si="4">J21+K21+L21+M21</f>
        <v>90440</v>
      </c>
      <c r="J21" s="13">
        <f>103360-12920</f>
        <v>90440</v>
      </c>
      <c r="K21" s="13">
        <v>0</v>
      </c>
      <c r="L21" s="13">
        <v>0</v>
      </c>
      <c r="M21" s="13">
        <v>0</v>
      </c>
      <c r="N21" s="12">
        <f>I21*0.8938636</f>
        <v>80841.023983999999</v>
      </c>
      <c r="O21" s="12">
        <f>I21*0.827659</f>
        <v>74853.479959999997</v>
      </c>
      <c r="P21" s="14"/>
    </row>
    <row r="22" spans="1:16" ht="42" customHeight="1">
      <c r="A22" s="3" t="s">
        <v>50</v>
      </c>
      <c r="B22" s="4" t="s">
        <v>186</v>
      </c>
      <c r="C22" s="3" t="s">
        <v>46</v>
      </c>
      <c r="D22" s="25" t="s">
        <v>75</v>
      </c>
      <c r="E22" s="5" t="s">
        <v>187</v>
      </c>
      <c r="F22" s="3" t="s">
        <v>37</v>
      </c>
      <c r="G22" s="3" t="s">
        <v>28</v>
      </c>
      <c r="H22" s="6">
        <v>0</v>
      </c>
      <c r="I22" s="6">
        <f t="shared" si="4"/>
        <v>0</v>
      </c>
      <c r="J22" s="6"/>
      <c r="K22" s="6">
        <v>0</v>
      </c>
      <c r="L22" s="6"/>
      <c r="M22" s="6">
        <v>0</v>
      </c>
      <c r="N22" s="6">
        <v>0</v>
      </c>
      <c r="O22" s="6">
        <v>0</v>
      </c>
      <c r="P22" s="7"/>
    </row>
    <row r="23" spans="1:16" s="15" customFormat="1" ht="48.75" customHeight="1">
      <c r="A23" s="9" t="s">
        <v>51</v>
      </c>
      <c r="B23" s="36" t="s">
        <v>198</v>
      </c>
      <c r="C23" s="24" t="s">
        <v>46</v>
      </c>
      <c r="D23" s="24" t="s">
        <v>75</v>
      </c>
      <c r="E23" s="37" t="s">
        <v>184</v>
      </c>
      <c r="F23" s="24" t="s">
        <v>37</v>
      </c>
      <c r="G23" s="9" t="s">
        <v>28</v>
      </c>
      <c r="H23" s="13">
        <v>0</v>
      </c>
      <c r="I23" s="13">
        <f>J23+K23+L23+M23</f>
        <v>62023</v>
      </c>
      <c r="J23" s="13">
        <v>62023</v>
      </c>
      <c r="K23" s="13">
        <v>0</v>
      </c>
      <c r="L23" s="13">
        <v>0</v>
      </c>
      <c r="M23" s="13">
        <v>0</v>
      </c>
      <c r="N23" s="12">
        <f>I23*0.8938636</f>
        <v>55440.102062799997</v>
      </c>
      <c r="O23" s="12">
        <f>I23*0.827659</f>
        <v>51333.894157000002</v>
      </c>
      <c r="P23" s="14"/>
    </row>
    <row r="24" spans="1:16" s="15" customFormat="1" ht="118.5" customHeight="1">
      <c r="A24" s="9" t="s">
        <v>52</v>
      </c>
      <c r="B24" s="10" t="s">
        <v>191</v>
      </c>
      <c r="C24" s="9" t="s">
        <v>46</v>
      </c>
      <c r="D24" s="9" t="s">
        <v>75</v>
      </c>
      <c r="E24" s="11" t="s">
        <v>192</v>
      </c>
      <c r="F24" s="9" t="s">
        <v>37</v>
      </c>
      <c r="G24" s="9" t="s">
        <v>28</v>
      </c>
      <c r="H24" s="13">
        <v>0</v>
      </c>
      <c r="I24" s="13">
        <f t="shared" ref="I24:I25" si="5">J24+K24+L24+M24</f>
        <v>249200</v>
      </c>
      <c r="J24" s="13">
        <f>477700-200000-28500</f>
        <v>249200</v>
      </c>
      <c r="K24" s="13">
        <v>0</v>
      </c>
      <c r="L24" s="13">
        <v>0</v>
      </c>
      <c r="M24" s="13">
        <v>0</v>
      </c>
      <c r="N24" s="12">
        <f>I24*0.8938636</f>
        <v>222750.80911999999</v>
      </c>
      <c r="O24" s="12">
        <f>I24*0.827659</f>
        <v>206252.62280000001</v>
      </c>
      <c r="P24" s="14"/>
    </row>
    <row r="25" spans="1:16" s="15" customFormat="1" ht="101.25" customHeight="1">
      <c r="A25" s="9" t="s">
        <v>53</v>
      </c>
      <c r="B25" s="10" t="s">
        <v>193</v>
      </c>
      <c r="C25" s="9" t="s">
        <v>46</v>
      </c>
      <c r="D25" s="9" t="s">
        <v>194</v>
      </c>
      <c r="E25" s="11" t="s">
        <v>195</v>
      </c>
      <c r="F25" s="9" t="s">
        <v>37</v>
      </c>
      <c r="G25" s="9" t="s">
        <v>28</v>
      </c>
      <c r="H25" s="13">
        <v>0</v>
      </c>
      <c r="I25" s="13">
        <f t="shared" si="5"/>
        <v>0</v>
      </c>
      <c r="J25" s="13">
        <f>955600-6500-949100</f>
        <v>0</v>
      </c>
      <c r="K25" s="13">
        <v>0</v>
      </c>
      <c r="L25" s="13">
        <v>0</v>
      </c>
      <c r="M25" s="13">
        <v>0</v>
      </c>
      <c r="N25" s="12">
        <f>I25*0.8938636</f>
        <v>0</v>
      </c>
      <c r="O25" s="12">
        <f>I25*0.827659</f>
        <v>0</v>
      </c>
      <c r="P25" s="14"/>
    </row>
    <row r="26" spans="1:16" ht="31.5">
      <c r="A26" s="3" t="s">
        <v>54</v>
      </c>
      <c r="B26" s="4" t="s">
        <v>55</v>
      </c>
      <c r="C26" s="3" t="s">
        <v>28</v>
      </c>
      <c r="D26" s="3" t="s">
        <v>28</v>
      </c>
      <c r="E26" s="3" t="s">
        <v>28</v>
      </c>
      <c r="F26" s="3" t="s">
        <v>28</v>
      </c>
      <c r="G26" s="3" t="s">
        <v>28</v>
      </c>
      <c r="H26" s="6">
        <f t="shared" ref="H26" si="6">I26+N26+O26</f>
        <v>0</v>
      </c>
      <c r="I26" s="6">
        <f t="shared" si="4"/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ref="N26:N27" si="7">I26*0.8938636</f>
        <v>0</v>
      </c>
      <c r="O26" s="6">
        <f t="shared" ref="O26:O27" si="8">I26*0.827659</f>
        <v>0</v>
      </c>
      <c r="P26" s="7"/>
    </row>
    <row r="27" spans="1:16" ht="202.5" customHeight="1">
      <c r="A27" s="3" t="s">
        <v>56</v>
      </c>
      <c r="B27" s="4" t="s">
        <v>57</v>
      </c>
      <c r="C27" s="3" t="s">
        <v>161</v>
      </c>
      <c r="D27" s="3" t="s">
        <v>185</v>
      </c>
      <c r="E27" s="5" t="s">
        <v>27</v>
      </c>
      <c r="F27" s="3" t="s">
        <v>37</v>
      </c>
      <c r="G27" s="3" t="s">
        <v>28</v>
      </c>
      <c r="H27" s="6">
        <v>0</v>
      </c>
      <c r="I27" s="6">
        <f t="shared" si="4"/>
        <v>104000</v>
      </c>
      <c r="J27" s="6">
        <v>104000</v>
      </c>
      <c r="K27" s="6">
        <v>0</v>
      </c>
      <c r="L27" s="6">
        <v>0</v>
      </c>
      <c r="M27" s="6">
        <v>0</v>
      </c>
      <c r="N27" s="6">
        <f t="shared" si="7"/>
        <v>92961.814400000003</v>
      </c>
      <c r="O27" s="6">
        <f t="shared" si="8"/>
        <v>86076.536000000007</v>
      </c>
      <c r="P27" s="7"/>
    </row>
    <row r="28" spans="1:16" ht="15.75">
      <c r="A28" s="3" t="s">
        <v>58</v>
      </c>
      <c r="B28" s="4" t="s">
        <v>59</v>
      </c>
      <c r="C28" s="3" t="s">
        <v>28</v>
      </c>
      <c r="D28" s="3" t="s">
        <v>28</v>
      </c>
      <c r="E28" s="3" t="s">
        <v>28</v>
      </c>
      <c r="F28" s="3" t="s">
        <v>28</v>
      </c>
      <c r="G28" s="3" t="s">
        <v>28</v>
      </c>
      <c r="H28" s="6">
        <v>0</v>
      </c>
      <c r="I28" s="6">
        <f>(I30+I89+I82+I90)</f>
        <v>8279163.2999999998</v>
      </c>
      <c r="J28" s="6">
        <f>J30+J89+J82+J90</f>
        <v>8279163.2999999998</v>
      </c>
      <c r="K28" s="6">
        <f>(K30+K89+K82+K90)</f>
        <v>0</v>
      </c>
      <c r="L28" s="6">
        <f>(L30+L89+L82+L90)</f>
        <v>0</v>
      </c>
      <c r="M28" s="6">
        <f>(M30+M89+M82+M90)</f>
        <v>0</v>
      </c>
      <c r="N28" s="26">
        <f>I28*0.8938636</f>
        <v>7400442.7123258794</v>
      </c>
      <c r="O28" s="26">
        <f>I28*0.827659</f>
        <v>6852324.0177146997</v>
      </c>
      <c r="P28" s="7"/>
    </row>
    <row r="29" spans="1:16" ht="15.75">
      <c r="A29" s="3"/>
      <c r="B29" s="4" t="s">
        <v>8</v>
      </c>
      <c r="C29" s="3"/>
      <c r="D29" s="3"/>
      <c r="E29" s="5"/>
      <c r="F29" s="3"/>
      <c r="G29" s="3"/>
      <c r="H29" s="6"/>
      <c r="I29" s="6"/>
      <c r="J29" s="6"/>
      <c r="K29" s="6"/>
      <c r="L29" s="6"/>
      <c r="M29" s="6"/>
      <c r="N29" s="26"/>
      <c r="O29" s="26"/>
      <c r="P29" s="7"/>
    </row>
    <row r="30" spans="1:16" ht="47.25">
      <c r="A30" s="3" t="s">
        <v>60</v>
      </c>
      <c r="B30" s="4" t="s">
        <v>61</v>
      </c>
      <c r="C30" s="3" t="s">
        <v>28</v>
      </c>
      <c r="D30" s="3" t="s">
        <v>28</v>
      </c>
      <c r="E30" s="3" t="s">
        <v>28</v>
      </c>
      <c r="F30" s="3" t="s">
        <v>28</v>
      </c>
      <c r="G30" s="3" t="s">
        <v>28</v>
      </c>
      <c r="H30" s="6">
        <v>0</v>
      </c>
      <c r="I30" s="6">
        <f>J30+K30+L30+M30</f>
        <v>7708900.2999999998</v>
      </c>
      <c r="J30" s="6">
        <f>J31+J48+J49+J50+J56+J61+J66+J72+J78</f>
        <v>7708900.2999999998</v>
      </c>
      <c r="K30" s="6">
        <f>K31+K48+K49+K50+K56+K61+K66+K72+K78</f>
        <v>0</v>
      </c>
      <c r="L30" s="6">
        <f>L31+L48+L49+L50+L56+L61+L66+L72+L78</f>
        <v>0</v>
      </c>
      <c r="M30" s="6">
        <f>(M31+M48+M49+M50+M56+M61+M66+M72+M78)</f>
        <v>0</v>
      </c>
      <c r="N30" s="26">
        <f>I30*0.8938636</f>
        <v>6890705.3741990793</v>
      </c>
      <c r="O30" s="26">
        <f>I30*0.827659</f>
        <v>6380340.7133977003</v>
      </c>
      <c r="P30" s="7"/>
    </row>
    <row r="31" spans="1:16" ht="15.75">
      <c r="A31" s="3" t="s">
        <v>62</v>
      </c>
      <c r="B31" s="4" t="s">
        <v>63</v>
      </c>
      <c r="C31" s="3" t="s">
        <v>28</v>
      </c>
      <c r="D31" s="3" t="s">
        <v>28</v>
      </c>
      <c r="E31" s="3" t="s">
        <v>28</v>
      </c>
      <c r="F31" s="3" t="s">
        <v>64</v>
      </c>
      <c r="G31" s="3" t="s">
        <v>28</v>
      </c>
      <c r="H31" s="6">
        <v>0</v>
      </c>
      <c r="I31" s="6">
        <f>J31+K31+L31+M31</f>
        <v>6018289</v>
      </c>
      <c r="J31" s="6">
        <f t="shared" ref="J31:M31" si="9">J33+J37+J44</f>
        <v>6018289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26">
        <f>I31*0.8938636</f>
        <v>5379529.4713803995</v>
      </c>
      <c r="O31" s="26">
        <f>I31*0.827659</f>
        <v>4981091.0554510001</v>
      </c>
      <c r="P31" s="7"/>
    </row>
    <row r="32" spans="1:16" ht="15.75">
      <c r="A32" s="3"/>
      <c r="B32" s="4" t="s">
        <v>8</v>
      </c>
      <c r="C32" s="3" t="s">
        <v>28</v>
      </c>
      <c r="D32" s="3" t="s">
        <v>28</v>
      </c>
      <c r="E32" s="3" t="s">
        <v>28</v>
      </c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15.75">
      <c r="A33" s="3"/>
      <c r="B33" s="4" t="s">
        <v>65</v>
      </c>
      <c r="C33" s="3" t="s">
        <v>36</v>
      </c>
      <c r="D33" s="3" t="s">
        <v>28</v>
      </c>
      <c r="E33" s="3" t="s">
        <v>28</v>
      </c>
      <c r="F33" s="3" t="s">
        <v>66</v>
      </c>
      <c r="G33" s="3" t="s">
        <v>28</v>
      </c>
      <c r="H33" s="6">
        <v>0</v>
      </c>
      <c r="I33" s="6">
        <f>J33+K33+L33+M33</f>
        <v>4778358</v>
      </c>
      <c r="J33" s="6">
        <f>J35+J36</f>
        <v>4778358</v>
      </c>
      <c r="K33" s="6">
        <f>K35+K36</f>
        <v>0</v>
      </c>
      <c r="L33" s="6">
        <f>L35+L36</f>
        <v>0</v>
      </c>
      <c r="M33" s="6">
        <f>M35+M36</f>
        <v>0</v>
      </c>
      <c r="N33" s="6">
        <f>I33*0.8938636</f>
        <v>4271200.2839687997</v>
      </c>
      <c r="O33" s="6">
        <f>I33*0.827659</f>
        <v>3954851.0039220001</v>
      </c>
      <c r="P33" s="7"/>
    </row>
    <row r="34" spans="1:16" ht="15.75">
      <c r="A34" s="3"/>
      <c r="B34" s="4" t="s">
        <v>8</v>
      </c>
      <c r="C34" s="3"/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7"/>
    </row>
    <row r="35" spans="1:16" s="15" customFormat="1" ht="31.5">
      <c r="A35" s="9"/>
      <c r="B35" s="10" t="s">
        <v>67</v>
      </c>
      <c r="C35" s="9" t="s">
        <v>162</v>
      </c>
      <c r="D35" s="9" t="s">
        <v>40</v>
      </c>
      <c r="E35" s="9" t="s">
        <v>28</v>
      </c>
      <c r="F35" s="9" t="s">
        <v>66</v>
      </c>
      <c r="G35" s="9" t="s">
        <v>28</v>
      </c>
      <c r="H35" s="13">
        <v>0</v>
      </c>
      <c r="I35" s="13">
        <f>J35+K35+L35+M35</f>
        <v>3636358</v>
      </c>
      <c r="J35" s="13">
        <f>3688000-25198-26444</f>
        <v>3636358</v>
      </c>
      <c r="K35" s="13">
        <v>0</v>
      </c>
      <c r="L35" s="13">
        <v>0</v>
      </c>
      <c r="M35" s="13">
        <v>0</v>
      </c>
      <c r="N35" s="13">
        <f>I35*0.8938636</f>
        <v>3250408.0527687999</v>
      </c>
      <c r="O35" s="13">
        <f>I35*0.827659</f>
        <v>3009664.4259220003</v>
      </c>
      <c r="P35" s="14"/>
    </row>
    <row r="36" spans="1:16" s="22" customFormat="1" ht="31.5">
      <c r="A36" s="16"/>
      <c r="B36" s="17" t="s">
        <v>68</v>
      </c>
      <c r="C36" s="16" t="s">
        <v>163</v>
      </c>
      <c r="D36" s="16" t="s">
        <v>75</v>
      </c>
      <c r="E36" s="16" t="s">
        <v>28</v>
      </c>
      <c r="F36" s="16" t="s">
        <v>66</v>
      </c>
      <c r="G36" s="16" t="s">
        <v>28</v>
      </c>
      <c r="H36" s="20">
        <v>0</v>
      </c>
      <c r="I36" s="20">
        <f>J36+K36+L36+M36</f>
        <v>1142000</v>
      </c>
      <c r="J36" s="20">
        <v>1142000</v>
      </c>
      <c r="K36" s="20">
        <v>0</v>
      </c>
      <c r="L36" s="20">
        <v>0</v>
      </c>
      <c r="M36" s="20">
        <v>0</v>
      </c>
      <c r="N36" s="20">
        <f>I36*0.8938636</f>
        <v>1020792.2311999999</v>
      </c>
      <c r="O36" s="20">
        <f>I36*0.827659</f>
        <v>945186.5780000001</v>
      </c>
      <c r="P36" s="21"/>
    </row>
    <row r="37" spans="1:16" ht="15.75">
      <c r="A37" s="3"/>
      <c r="B37" s="4" t="s">
        <v>69</v>
      </c>
      <c r="C37" s="3" t="s">
        <v>36</v>
      </c>
      <c r="D37" s="3" t="s">
        <v>28</v>
      </c>
      <c r="E37" s="3" t="s">
        <v>28</v>
      </c>
      <c r="F37" s="3" t="s">
        <v>70</v>
      </c>
      <c r="G37" s="3" t="s">
        <v>28</v>
      </c>
      <c r="H37" s="6">
        <v>0</v>
      </c>
      <c r="I37" s="6">
        <f>J37+K37+L37+M37</f>
        <v>7100</v>
      </c>
      <c r="J37" s="6">
        <f>J39+J41+J40+J42+J43</f>
        <v>7100</v>
      </c>
      <c r="K37" s="6">
        <f t="shared" ref="K37:M37" si="10">K39+K41+K40+K42+K43</f>
        <v>0</v>
      </c>
      <c r="L37" s="6">
        <f t="shared" si="10"/>
        <v>0</v>
      </c>
      <c r="M37" s="6">
        <f t="shared" si="10"/>
        <v>0</v>
      </c>
      <c r="N37" s="6">
        <f>I37*0.8938636</f>
        <v>6346.43156</v>
      </c>
      <c r="O37" s="6">
        <f>I37*0.827659</f>
        <v>5876.3789000000006</v>
      </c>
      <c r="P37" s="7"/>
    </row>
    <row r="38" spans="1:16" ht="15.75">
      <c r="A38" s="3"/>
      <c r="B38" s="4" t="s">
        <v>71</v>
      </c>
      <c r="C38" s="3"/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7"/>
    </row>
    <row r="39" spans="1:16" s="15" customFormat="1" ht="47.25" hidden="1">
      <c r="A39" s="9"/>
      <c r="B39" s="10" t="s">
        <v>72</v>
      </c>
      <c r="C39" s="9" t="s">
        <v>164</v>
      </c>
      <c r="D39" s="9" t="s">
        <v>40</v>
      </c>
      <c r="E39" s="11" t="s">
        <v>27</v>
      </c>
      <c r="F39" s="9" t="s">
        <v>70</v>
      </c>
      <c r="G39" s="9" t="s">
        <v>28</v>
      </c>
      <c r="H39" s="13">
        <v>0</v>
      </c>
      <c r="I39" s="13">
        <f t="shared" ref="I39:I50" si="11">J39+K39+L39+M39</f>
        <v>0</v>
      </c>
      <c r="J39" s="13">
        <v>0</v>
      </c>
      <c r="K39" s="13">
        <v>0</v>
      </c>
      <c r="L39" s="13">
        <v>0</v>
      </c>
      <c r="M39" s="13">
        <f>4500-4500</f>
        <v>0</v>
      </c>
      <c r="N39" s="13">
        <f t="shared" ref="N39:N44" si="12">I39*0.8938636</f>
        <v>0</v>
      </c>
      <c r="O39" s="13">
        <f t="shared" ref="O39:O44" si="13">I39*0.827659</f>
        <v>0</v>
      </c>
      <c r="P39" s="14"/>
    </row>
    <row r="40" spans="1:16" s="22" customFormat="1" ht="47.25" hidden="1">
      <c r="A40" s="16"/>
      <c r="B40" s="17" t="s">
        <v>74</v>
      </c>
      <c r="C40" s="9" t="s">
        <v>165</v>
      </c>
      <c r="D40" s="9" t="s">
        <v>75</v>
      </c>
      <c r="E40" s="11" t="s">
        <v>27</v>
      </c>
      <c r="F40" s="16" t="s">
        <v>70</v>
      </c>
      <c r="G40" s="16" t="s">
        <v>28</v>
      </c>
      <c r="H40" s="20">
        <v>0</v>
      </c>
      <c r="I40" s="20">
        <f t="shared" si="11"/>
        <v>0</v>
      </c>
      <c r="J40" s="20">
        <v>0</v>
      </c>
      <c r="K40" s="20">
        <f>300-300</f>
        <v>0</v>
      </c>
      <c r="L40" s="20">
        <f>300-300</f>
        <v>0</v>
      </c>
      <c r="M40" s="20">
        <f>300-300</f>
        <v>0</v>
      </c>
      <c r="N40" s="20">
        <f t="shared" si="12"/>
        <v>0</v>
      </c>
      <c r="O40" s="20">
        <f t="shared" si="13"/>
        <v>0</v>
      </c>
      <c r="P40" s="21"/>
    </row>
    <row r="41" spans="1:16" s="15" customFormat="1" ht="31.5">
      <c r="A41" s="9"/>
      <c r="B41" s="10" t="s">
        <v>76</v>
      </c>
      <c r="C41" s="9" t="s">
        <v>164</v>
      </c>
      <c r="D41" s="9" t="s">
        <v>40</v>
      </c>
      <c r="E41" s="11" t="s">
        <v>27</v>
      </c>
      <c r="F41" s="9" t="s">
        <v>70</v>
      </c>
      <c r="G41" s="9" t="s">
        <v>28</v>
      </c>
      <c r="H41" s="13">
        <v>0</v>
      </c>
      <c r="I41" s="13">
        <f>J41+K41+L41+M41</f>
        <v>6950</v>
      </c>
      <c r="J41" s="13">
        <f>18200-11250</f>
        <v>6950</v>
      </c>
      <c r="K41" s="13">
        <v>0</v>
      </c>
      <c r="L41" s="13">
        <v>0</v>
      </c>
      <c r="M41" s="13">
        <v>0</v>
      </c>
      <c r="N41" s="13">
        <f t="shared" si="12"/>
        <v>6212.3520200000003</v>
      </c>
      <c r="O41" s="13">
        <f t="shared" si="13"/>
        <v>5752.2300500000001</v>
      </c>
      <c r="P41" s="14"/>
    </row>
    <row r="42" spans="1:16" s="15" customFormat="1" ht="31.5" hidden="1">
      <c r="A42" s="9"/>
      <c r="B42" s="23" t="s">
        <v>77</v>
      </c>
      <c r="C42" s="9" t="s">
        <v>164</v>
      </c>
      <c r="D42" s="9" t="s">
        <v>40</v>
      </c>
      <c r="E42" s="11" t="s">
        <v>27</v>
      </c>
      <c r="F42" s="24" t="s">
        <v>70</v>
      </c>
      <c r="G42" s="24" t="s">
        <v>28</v>
      </c>
      <c r="H42" s="13">
        <v>0</v>
      </c>
      <c r="I42" s="13">
        <f>J42+K42+L42+M42</f>
        <v>0</v>
      </c>
      <c r="J42" s="13">
        <v>0</v>
      </c>
      <c r="K42" s="13">
        <v>0</v>
      </c>
      <c r="L42" s="13">
        <v>0</v>
      </c>
      <c r="M42" s="13">
        <v>0</v>
      </c>
      <c r="N42" s="13">
        <f t="shared" si="12"/>
        <v>0</v>
      </c>
      <c r="O42" s="13">
        <f t="shared" si="13"/>
        <v>0</v>
      </c>
      <c r="P42" s="14"/>
    </row>
    <row r="43" spans="1:16" s="22" customFormat="1" ht="31.5">
      <c r="A43" s="16"/>
      <c r="B43" s="17" t="s">
        <v>79</v>
      </c>
      <c r="C43" s="3" t="s">
        <v>165</v>
      </c>
      <c r="D43" s="3" t="s">
        <v>75</v>
      </c>
      <c r="E43" s="5" t="s">
        <v>27</v>
      </c>
      <c r="F43" s="16" t="s">
        <v>70</v>
      </c>
      <c r="G43" s="16" t="s">
        <v>78</v>
      </c>
      <c r="H43" s="20">
        <v>0</v>
      </c>
      <c r="I43" s="20">
        <f>J43+K43+L43+M43</f>
        <v>150</v>
      </c>
      <c r="J43" s="20">
        <f>150</f>
        <v>150</v>
      </c>
      <c r="K43" s="20">
        <v>0</v>
      </c>
      <c r="L43" s="20">
        <v>0</v>
      </c>
      <c r="M43" s="20">
        <v>0</v>
      </c>
      <c r="N43" s="20">
        <f t="shared" si="12"/>
        <v>134.07954000000001</v>
      </c>
      <c r="O43" s="20">
        <f t="shared" si="13"/>
        <v>124.14885000000001</v>
      </c>
      <c r="P43" s="21"/>
    </row>
    <row r="44" spans="1:16" ht="31.5">
      <c r="A44" s="3"/>
      <c r="B44" s="4" t="s">
        <v>80</v>
      </c>
      <c r="C44" s="3" t="s">
        <v>36</v>
      </c>
      <c r="D44" s="3"/>
      <c r="E44" s="5" t="s">
        <v>27</v>
      </c>
      <c r="F44" s="3" t="s">
        <v>81</v>
      </c>
      <c r="G44" s="3" t="s">
        <v>28</v>
      </c>
      <c r="H44" s="6">
        <v>0</v>
      </c>
      <c r="I44" s="6">
        <f>J44+K44+L44+M44</f>
        <v>1232831</v>
      </c>
      <c r="J44" s="6">
        <f>J46+J47</f>
        <v>1232831</v>
      </c>
      <c r="K44" s="6">
        <f>K46+K47</f>
        <v>0</v>
      </c>
      <c r="L44" s="6">
        <f>L46+L47</f>
        <v>0</v>
      </c>
      <c r="M44" s="6">
        <f>M46+M47</f>
        <v>0</v>
      </c>
      <c r="N44" s="6">
        <f t="shared" si="12"/>
        <v>1101982.7558516001</v>
      </c>
      <c r="O44" s="6">
        <f t="shared" si="13"/>
        <v>1020363.672629</v>
      </c>
      <c r="P44" s="7"/>
    </row>
    <row r="45" spans="1:16" ht="15.75">
      <c r="A45" s="3"/>
      <c r="B45" s="4" t="s">
        <v>71</v>
      </c>
      <c r="C45" s="3"/>
      <c r="D45" s="3"/>
      <c r="E45" s="5" t="s">
        <v>27</v>
      </c>
      <c r="F45" s="3"/>
      <c r="G45" s="3"/>
      <c r="H45" s="6"/>
      <c r="I45" s="6"/>
      <c r="J45" s="6"/>
      <c r="K45" s="6"/>
      <c r="L45" s="6"/>
      <c r="M45" s="6"/>
      <c r="N45" s="6"/>
      <c r="O45" s="6"/>
      <c r="P45" s="7"/>
    </row>
    <row r="46" spans="1:16" s="15" customFormat="1" ht="47.25">
      <c r="A46" s="9"/>
      <c r="B46" s="10" t="s">
        <v>82</v>
      </c>
      <c r="C46" s="9" t="s">
        <v>166</v>
      </c>
      <c r="D46" s="9" t="s">
        <v>40</v>
      </c>
      <c r="E46" s="11" t="s">
        <v>27</v>
      </c>
      <c r="F46" s="9" t="s">
        <v>81</v>
      </c>
      <c r="G46" s="9" t="s">
        <v>28</v>
      </c>
      <c r="H46" s="13">
        <v>0</v>
      </c>
      <c r="I46" s="13">
        <f>J46+K46+L46+M46</f>
        <v>918831</v>
      </c>
      <c r="J46" s="13">
        <f>941173-10902-11440</f>
        <v>918831</v>
      </c>
      <c r="K46" s="13">
        <v>0</v>
      </c>
      <c r="L46" s="13">
        <v>0</v>
      </c>
      <c r="M46" s="13">
        <v>0</v>
      </c>
      <c r="N46" s="13">
        <f>I46*0.8938636</f>
        <v>821309.58545160003</v>
      </c>
      <c r="O46" s="13">
        <f>I46*0.827659</f>
        <v>760478.74662900006</v>
      </c>
      <c r="P46" s="14"/>
    </row>
    <row r="47" spans="1:16" s="22" customFormat="1" ht="47.25">
      <c r="A47" s="16"/>
      <c r="B47" s="17" t="s">
        <v>83</v>
      </c>
      <c r="C47" s="16" t="s">
        <v>167</v>
      </c>
      <c r="D47" s="16" t="s">
        <v>75</v>
      </c>
      <c r="E47" s="18" t="s">
        <v>27</v>
      </c>
      <c r="F47" s="16" t="s">
        <v>81</v>
      </c>
      <c r="G47" s="16" t="s">
        <v>28</v>
      </c>
      <c r="H47" s="20">
        <v>0</v>
      </c>
      <c r="I47" s="20">
        <f t="shared" si="11"/>
        <v>314000</v>
      </c>
      <c r="J47" s="20">
        <v>314000</v>
      </c>
      <c r="K47" s="20">
        <v>0</v>
      </c>
      <c r="L47" s="20">
        <v>0</v>
      </c>
      <c r="M47" s="20">
        <v>0</v>
      </c>
      <c r="N47" s="20">
        <f>I47*0.8938636</f>
        <v>280673.1704</v>
      </c>
      <c r="O47" s="20">
        <f>I47*0.827659</f>
        <v>259884.92600000001</v>
      </c>
      <c r="P47" s="21"/>
    </row>
    <row r="48" spans="1:16" s="15" customFormat="1" ht="15.75">
      <c r="A48" s="9" t="s">
        <v>84</v>
      </c>
      <c r="B48" s="10" t="s">
        <v>85</v>
      </c>
      <c r="C48" s="9" t="s">
        <v>168</v>
      </c>
      <c r="D48" s="9" t="s">
        <v>40</v>
      </c>
      <c r="E48" s="11" t="s">
        <v>27</v>
      </c>
      <c r="F48" s="9" t="s">
        <v>86</v>
      </c>
      <c r="G48" s="9" t="s">
        <v>28</v>
      </c>
      <c r="H48" s="13">
        <v>0</v>
      </c>
      <c r="I48" s="13">
        <f t="shared" si="11"/>
        <v>14784</v>
      </c>
      <c r="J48" s="13">
        <v>14784</v>
      </c>
      <c r="K48" s="13">
        <v>0</v>
      </c>
      <c r="L48" s="13">
        <v>0</v>
      </c>
      <c r="M48" s="13">
        <v>0</v>
      </c>
      <c r="N48" s="13">
        <f>I48*0.8938636</f>
        <v>13214.8794624</v>
      </c>
      <c r="O48" s="13">
        <f>I48*0.827659</f>
        <v>12236.110656000001</v>
      </c>
      <c r="P48" s="14"/>
    </row>
    <row r="49" spans="1:16" s="15" customFormat="1" ht="15.75">
      <c r="A49" s="9" t="s">
        <v>87</v>
      </c>
      <c r="B49" s="10" t="s">
        <v>88</v>
      </c>
      <c r="C49" s="9" t="s">
        <v>169</v>
      </c>
      <c r="D49" s="9" t="s">
        <v>40</v>
      </c>
      <c r="E49" s="11" t="s">
        <v>27</v>
      </c>
      <c r="F49" s="9" t="s">
        <v>89</v>
      </c>
      <c r="G49" s="9" t="s">
        <v>28</v>
      </c>
      <c r="H49" s="13">
        <v>0</v>
      </c>
      <c r="I49" s="13">
        <f t="shared" si="11"/>
        <v>834</v>
      </c>
      <c r="J49" s="13">
        <f>834</f>
        <v>834</v>
      </c>
      <c r="K49" s="13">
        <v>0</v>
      </c>
      <c r="L49" s="13">
        <v>0</v>
      </c>
      <c r="M49" s="13">
        <v>0</v>
      </c>
      <c r="N49" s="13"/>
      <c r="O49" s="13"/>
      <c r="P49" s="14"/>
    </row>
    <row r="50" spans="1:16" s="22" customFormat="1" ht="15.75">
      <c r="A50" s="16" t="s">
        <v>90</v>
      </c>
      <c r="B50" s="17" t="s">
        <v>91</v>
      </c>
      <c r="C50" s="16" t="s">
        <v>170</v>
      </c>
      <c r="D50" s="16" t="s">
        <v>75</v>
      </c>
      <c r="E50" s="18" t="s">
        <v>27</v>
      </c>
      <c r="F50" s="16" t="s">
        <v>92</v>
      </c>
      <c r="G50" s="16" t="s">
        <v>28</v>
      </c>
      <c r="H50" s="20">
        <v>0</v>
      </c>
      <c r="I50" s="20">
        <f t="shared" si="11"/>
        <v>1299082</v>
      </c>
      <c r="J50" s="20">
        <f>J52+J53+J54+J55</f>
        <v>1299082</v>
      </c>
      <c r="K50" s="20">
        <f t="shared" ref="K50:O50" si="14">K52+K53+K54+K55</f>
        <v>0</v>
      </c>
      <c r="L50" s="20">
        <f t="shared" si="14"/>
        <v>0</v>
      </c>
      <c r="M50" s="20">
        <f t="shared" si="14"/>
        <v>0</v>
      </c>
      <c r="N50" s="20">
        <f t="shared" si="14"/>
        <v>1161202.1132151999</v>
      </c>
      <c r="O50" s="20">
        <f t="shared" si="14"/>
        <v>1075196.909038</v>
      </c>
      <c r="P50" s="21"/>
    </row>
    <row r="51" spans="1:16" ht="15.75" hidden="1">
      <c r="A51" s="3"/>
      <c r="B51" s="4" t="s">
        <v>71</v>
      </c>
      <c r="C51" s="3"/>
      <c r="D51" s="3"/>
      <c r="E51" s="5" t="s">
        <v>27</v>
      </c>
      <c r="F51" s="3"/>
      <c r="G51" s="3"/>
      <c r="H51" s="6"/>
      <c r="I51" s="6"/>
      <c r="J51" s="6"/>
      <c r="K51" s="6"/>
      <c r="L51" s="6"/>
      <c r="M51" s="6"/>
      <c r="N51" s="6"/>
      <c r="O51" s="6"/>
      <c r="P51" s="7"/>
    </row>
    <row r="52" spans="1:16" ht="15.75" hidden="1">
      <c r="A52" s="3"/>
      <c r="B52" s="4" t="s">
        <v>93</v>
      </c>
      <c r="C52" s="16" t="s">
        <v>170</v>
      </c>
      <c r="D52" s="3" t="s">
        <v>75</v>
      </c>
      <c r="E52" s="5" t="s">
        <v>27</v>
      </c>
      <c r="F52" s="3" t="s">
        <v>92</v>
      </c>
      <c r="G52" s="3" t="s">
        <v>94</v>
      </c>
      <c r="H52" s="6">
        <v>0</v>
      </c>
      <c r="I52" s="6">
        <f>J52+K52+L52+M52</f>
        <v>1299082</v>
      </c>
      <c r="J52" s="6">
        <v>1299082</v>
      </c>
      <c r="K52" s="6">
        <v>0</v>
      </c>
      <c r="L52" s="6">
        <v>0</v>
      </c>
      <c r="M52" s="6">
        <v>0</v>
      </c>
      <c r="N52" s="6">
        <f>I52*0.8938636</f>
        <v>1161202.1132151999</v>
      </c>
      <c r="O52" s="6">
        <f>I52*0.827659</f>
        <v>1075196.909038</v>
      </c>
      <c r="P52" s="7"/>
    </row>
    <row r="53" spans="1:16" ht="31.5" hidden="1">
      <c r="A53" s="3"/>
      <c r="B53" s="4" t="s">
        <v>95</v>
      </c>
      <c r="C53" s="16" t="s">
        <v>170</v>
      </c>
      <c r="D53" s="3" t="s">
        <v>75</v>
      </c>
      <c r="E53" s="5" t="s">
        <v>27</v>
      </c>
      <c r="F53" s="3" t="s">
        <v>92</v>
      </c>
      <c r="G53" s="3" t="s">
        <v>96</v>
      </c>
      <c r="H53" s="6">
        <v>0</v>
      </c>
      <c r="I53" s="6">
        <f>J53+K53+L53+M53</f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>I53*0.827659</f>
        <v>0</v>
      </c>
      <c r="P53" s="7"/>
    </row>
    <row r="54" spans="1:16" ht="31.5" hidden="1">
      <c r="A54" s="3"/>
      <c r="B54" s="4" t="s">
        <v>97</v>
      </c>
      <c r="C54" s="16" t="s">
        <v>170</v>
      </c>
      <c r="D54" s="3" t="s">
        <v>75</v>
      </c>
      <c r="E54" s="5" t="s">
        <v>27</v>
      </c>
      <c r="F54" s="3" t="s">
        <v>92</v>
      </c>
      <c r="G54" s="3" t="s">
        <v>98</v>
      </c>
      <c r="H54" s="6">
        <f>I54+N54+O54</f>
        <v>0</v>
      </c>
      <c r="I54" s="6">
        <f>J54+K54+L54+M54</f>
        <v>0</v>
      </c>
      <c r="J54" s="6">
        <v>0</v>
      </c>
      <c r="K54" s="6">
        <v>0</v>
      </c>
      <c r="L54" s="6">
        <v>0</v>
      </c>
      <c r="M54" s="6">
        <v>0</v>
      </c>
      <c r="N54" s="6">
        <f>I54*0.8938636</f>
        <v>0</v>
      </c>
      <c r="O54" s="6">
        <f>I54*0.827659</f>
        <v>0</v>
      </c>
      <c r="P54" s="7"/>
    </row>
    <row r="55" spans="1:16" ht="31.5" hidden="1">
      <c r="A55" s="3"/>
      <c r="B55" s="4" t="s">
        <v>99</v>
      </c>
      <c r="C55" s="16" t="s">
        <v>170</v>
      </c>
      <c r="D55" s="3" t="s">
        <v>75</v>
      </c>
      <c r="E55" s="5" t="s">
        <v>27</v>
      </c>
      <c r="F55" s="3" t="s">
        <v>92</v>
      </c>
      <c r="G55" s="3" t="s">
        <v>100</v>
      </c>
      <c r="H55" s="6"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 t="s">
        <v>101</v>
      </c>
      <c r="B56" s="4" t="s">
        <v>102</v>
      </c>
      <c r="C56" s="25" t="s">
        <v>171</v>
      </c>
      <c r="D56" s="25" t="s">
        <v>75</v>
      </c>
      <c r="E56" s="28" t="s">
        <v>27</v>
      </c>
      <c r="F56" s="3" t="s">
        <v>103</v>
      </c>
      <c r="G56" s="3" t="s">
        <v>28</v>
      </c>
      <c r="H56" s="6">
        <v>0</v>
      </c>
      <c r="I56" s="6">
        <f>J56+K56+L56+M56</f>
        <v>47000</v>
      </c>
      <c r="J56" s="6">
        <f t="shared" ref="J56:O56" si="15">J58+J59+J60</f>
        <v>47000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42011.589200000002</v>
      </c>
      <c r="O56" s="6">
        <f t="shared" si="15"/>
        <v>38899.972999999998</v>
      </c>
      <c r="P56" s="7"/>
    </row>
    <row r="57" spans="1:16" ht="15.75">
      <c r="A57" s="3"/>
      <c r="B57" s="4" t="s">
        <v>71</v>
      </c>
      <c r="C57" s="3"/>
      <c r="D57" s="3"/>
      <c r="E57" s="5" t="s">
        <v>27</v>
      </c>
      <c r="F57" s="3"/>
      <c r="G57" s="3"/>
      <c r="H57" s="6"/>
      <c r="I57" s="6"/>
      <c r="J57" s="6"/>
      <c r="K57" s="6"/>
      <c r="L57" s="6"/>
      <c r="M57" s="6"/>
      <c r="N57" s="6"/>
      <c r="O57" s="6"/>
      <c r="P57" s="7"/>
    </row>
    <row r="58" spans="1:16" s="22" customFormat="1" ht="31.5">
      <c r="A58" s="16"/>
      <c r="B58" s="17" t="s">
        <v>104</v>
      </c>
      <c r="C58" s="16" t="s">
        <v>171</v>
      </c>
      <c r="D58" s="16" t="s">
        <v>75</v>
      </c>
      <c r="E58" s="18" t="s">
        <v>27</v>
      </c>
      <c r="F58" s="16" t="s">
        <v>103</v>
      </c>
      <c r="G58" s="16" t="s">
        <v>28</v>
      </c>
      <c r="H58" s="20">
        <v>0</v>
      </c>
      <c r="I58" s="20">
        <f>J58+K58+L58+M58</f>
        <v>47000</v>
      </c>
      <c r="J58" s="20">
        <v>47000</v>
      </c>
      <c r="K58" s="20">
        <v>0</v>
      </c>
      <c r="L58" s="20">
        <v>0</v>
      </c>
      <c r="M58" s="20">
        <v>0</v>
      </c>
      <c r="N58" s="20">
        <f>I58*0.8938636</f>
        <v>42011.589200000002</v>
      </c>
      <c r="O58" s="20">
        <f>I58*0.827659</f>
        <v>38899.972999999998</v>
      </c>
      <c r="P58" s="21"/>
    </row>
    <row r="59" spans="1:16" ht="31.5">
      <c r="A59" s="3"/>
      <c r="B59" s="4" t="s">
        <v>105</v>
      </c>
      <c r="C59" s="16" t="s">
        <v>171</v>
      </c>
      <c r="D59" s="3" t="s">
        <v>75</v>
      </c>
      <c r="E59" s="5" t="s">
        <v>27</v>
      </c>
      <c r="F59" s="3" t="s">
        <v>103</v>
      </c>
      <c r="G59" s="3" t="s">
        <v>28</v>
      </c>
      <c r="H59" s="6">
        <f>I59+N59+O59</f>
        <v>0</v>
      </c>
      <c r="I59" s="6">
        <f>J59+K59+L59+M59</f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/>
    </row>
    <row r="60" spans="1:16" ht="47.25">
      <c r="A60" s="3"/>
      <c r="B60" s="4" t="s">
        <v>106</v>
      </c>
      <c r="C60" s="16" t="s">
        <v>171</v>
      </c>
      <c r="D60" s="3" t="s">
        <v>75</v>
      </c>
      <c r="E60" s="5" t="s">
        <v>27</v>
      </c>
      <c r="F60" s="3" t="s">
        <v>103</v>
      </c>
      <c r="G60" s="3" t="s">
        <v>28</v>
      </c>
      <c r="H60" s="6">
        <f>I60+N60+O60</f>
        <v>0</v>
      </c>
      <c r="I60" s="6">
        <f>J60+K60+L60+M60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7"/>
    </row>
    <row r="61" spans="1:16" ht="15.75">
      <c r="A61" s="3" t="s">
        <v>107</v>
      </c>
      <c r="B61" s="4" t="s">
        <v>108</v>
      </c>
      <c r="C61" s="3"/>
      <c r="D61" s="3"/>
      <c r="E61" s="5"/>
      <c r="F61" s="3" t="s">
        <v>109</v>
      </c>
      <c r="G61" s="3" t="s">
        <v>28</v>
      </c>
      <c r="H61" s="6">
        <v>0</v>
      </c>
      <c r="I61" s="6">
        <f>J61+K61+L61+M61</f>
        <v>112321</v>
      </c>
      <c r="J61" s="6">
        <f>J63+J64</f>
        <v>112321</v>
      </c>
      <c r="K61" s="6">
        <f>K63+K64</f>
        <v>0</v>
      </c>
      <c r="L61" s="6">
        <f>L63+L64</f>
        <v>0</v>
      </c>
      <c r="M61" s="6">
        <f>M63+M64</f>
        <v>0</v>
      </c>
      <c r="N61" s="6">
        <f>N63+N65</f>
        <v>50566.757715599997</v>
      </c>
      <c r="O61" s="6">
        <f>O63+O65</f>
        <v>46821.497288999999</v>
      </c>
      <c r="P61" s="7"/>
    </row>
    <row r="62" spans="1:16" ht="15.75">
      <c r="A62" s="3"/>
      <c r="B62" s="4" t="s">
        <v>71</v>
      </c>
      <c r="C62" s="3"/>
      <c r="D62" s="3"/>
      <c r="E62" s="5"/>
      <c r="F62" s="3"/>
      <c r="G62" s="3"/>
      <c r="H62" s="6"/>
      <c r="I62" s="6"/>
      <c r="J62" s="6"/>
      <c r="K62" s="6"/>
      <c r="L62" s="6"/>
      <c r="M62" s="6"/>
      <c r="N62" s="6"/>
      <c r="O62" s="6"/>
      <c r="P62" s="7"/>
    </row>
    <row r="63" spans="1:16" s="15" customFormat="1" ht="31.5">
      <c r="A63" s="9"/>
      <c r="B63" s="10" t="s">
        <v>110</v>
      </c>
      <c r="C63" s="9" t="s">
        <v>172</v>
      </c>
      <c r="D63" s="9" t="s">
        <v>40</v>
      </c>
      <c r="E63" s="5" t="s">
        <v>27</v>
      </c>
      <c r="F63" s="9" t="s">
        <v>109</v>
      </c>
      <c r="G63" s="9" t="s">
        <v>28</v>
      </c>
      <c r="H63" s="13">
        <v>0</v>
      </c>
      <c r="I63" s="13">
        <f>J63+K63+L63+M63</f>
        <v>56571</v>
      </c>
      <c r="J63" s="13">
        <f>9000+14671+7900+25000</f>
        <v>56571</v>
      </c>
      <c r="K63" s="13">
        <v>0</v>
      </c>
      <c r="L63" s="13">
        <v>0</v>
      </c>
      <c r="M63" s="13">
        <v>0</v>
      </c>
      <c r="N63" s="13">
        <f>I63*0.8938636</f>
        <v>50566.757715599997</v>
      </c>
      <c r="O63" s="13">
        <f>I63*0.827659</f>
        <v>46821.497288999999</v>
      </c>
      <c r="P63" s="14"/>
    </row>
    <row r="64" spans="1:16" s="22" customFormat="1" ht="31.5">
      <c r="A64" s="16"/>
      <c r="B64" s="17" t="s">
        <v>111</v>
      </c>
      <c r="C64" s="16" t="s">
        <v>173</v>
      </c>
      <c r="D64" s="16" t="s">
        <v>75</v>
      </c>
      <c r="E64" s="5" t="s">
        <v>27</v>
      </c>
      <c r="F64" s="16" t="s">
        <v>109</v>
      </c>
      <c r="G64" s="16" t="s">
        <v>28</v>
      </c>
      <c r="H64" s="20">
        <v>0</v>
      </c>
      <c r="I64" s="20">
        <f>J64+K64+L64+M64</f>
        <v>55750</v>
      </c>
      <c r="J64" s="20">
        <f>57000-100-1150</f>
        <v>55750</v>
      </c>
      <c r="K64" s="20">
        <v>0</v>
      </c>
      <c r="L64" s="20">
        <v>0</v>
      </c>
      <c r="M64" s="20">
        <v>0</v>
      </c>
      <c r="N64" s="20">
        <f>I64*0.8938636</f>
        <v>49832.895700000001</v>
      </c>
      <c r="O64" s="20">
        <f>I64*0.827659</f>
        <v>46141.989249999999</v>
      </c>
      <c r="P64" s="21"/>
    </row>
    <row r="65" spans="1:16" ht="78.75">
      <c r="A65" s="3"/>
      <c r="B65" s="4" t="s">
        <v>112</v>
      </c>
      <c r="C65" s="3" t="s">
        <v>172</v>
      </c>
      <c r="D65" s="3" t="s">
        <v>40</v>
      </c>
      <c r="E65" s="5" t="s">
        <v>27</v>
      </c>
      <c r="F65" s="3" t="s">
        <v>109</v>
      </c>
      <c r="G65" s="3" t="s">
        <v>28</v>
      </c>
      <c r="H65" s="6">
        <f>I65+N65+O65</f>
        <v>0</v>
      </c>
      <c r="I65" s="6">
        <f>J65+K65+L65+M65</f>
        <v>0</v>
      </c>
      <c r="J65" s="6">
        <v>0</v>
      </c>
      <c r="K65" s="6">
        <v>0</v>
      </c>
      <c r="L65" s="6">
        <v>0</v>
      </c>
      <c r="M65" s="6">
        <v>0</v>
      </c>
      <c r="N65" s="26">
        <f>I65*0.8938636</f>
        <v>0</v>
      </c>
      <c r="O65" s="26">
        <f>I65*0.827659</f>
        <v>0</v>
      </c>
      <c r="P65" s="7"/>
    </row>
    <row r="66" spans="1:16" ht="31.5">
      <c r="A66" s="3" t="s">
        <v>113</v>
      </c>
      <c r="B66" s="4" t="s">
        <v>114</v>
      </c>
      <c r="C66" s="3"/>
      <c r="D66" s="25"/>
      <c r="E66" s="5" t="s">
        <v>27</v>
      </c>
      <c r="F66" s="3" t="s">
        <v>115</v>
      </c>
      <c r="G66" s="3" t="s">
        <v>28</v>
      </c>
      <c r="H66" s="6">
        <v>0</v>
      </c>
      <c r="I66" s="6">
        <f>J66+K66+L66+M66</f>
        <v>51500</v>
      </c>
      <c r="J66" s="6">
        <f t="shared" ref="J66:O66" si="16">J70+J71+J68</f>
        <v>51500</v>
      </c>
      <c r="K66" s="6">
        <v>0</v>
      </c>
      <c r="L66" s="6">
        <f t="shared" si="16"/>
        <v>0</v>
      </c>
      <c r="M66" s="6">
        <v>0</v>
      </c>
      <c r="N66" s="6">
        <f t="shared" si="16"/>
        <v>46033.975399999996</v>
      </c>
      <c r="O66" s="6">
        <f t="shared" si="16"/>
        <v>42624.438500000004</v>
      </c>
      <c r="P66" s="7"/>
    </row>
    <row r="67" spans="1:16" ht="15.75">
      <c r="A67" s="3"/>
      <c r="B67" s="4" t="s">
        <v>71</v>
      </c>
      <c r="C67" s="3"/>
      <c r="D67" s="25"/>
      <c r="E67" s="5" t="s">
        <v>27</v>
      </c>
      <c r="F67" s="3"/>
      <c r="G67" s="3"/>
      <c r="H67" s="6"/>
      <c r="I67" s="6"/>
      <c r="J67" s="6"/>
      <c r="K67" s="6"/>
      <c r="L67" s="6"/>
      <c r="M67" s="6"/>
      <c r="N67" s="6"/>
      <c r="O67" s="6"/>
      <c r="P67" s="7"/>
    </row>
    <row r="68" spans="1:16" ht="39.75" customHeight="1">
      <c r="A68" s="3"/>
      <c r="B68" s="4" t="s">
        <v>116</v>
      </c>
      <c r="C68" s="3" t="s">
        <v>174</v>
      </c>
      <c r="D68" s="3" t="s">
        <v>40</v>
      </c>
      <c r="E68" s="5" t="s">
        <v>27</v>
      </c>
      <c r="F68" s="24" t="s">
        <v>115</v>
      </c>
      <c r="G68" s="24" t="s">
        <v>28</v>
      </c>
      <c r="H68" s="27">
        <v>0</v>
      </c>
      <c r="I68" s="27">
        <f>J68+K68+L68+M68</f>
        <v>51500</v>
      </c>
      <c r="J68" s="27">
        <f>28200+23300</f>
        <v>51500</v>
      </c>
      <c r="K68" s="27">
        <v>0</v>
      </c>
      <c r="L68" s="27">
        <v>0</v>
      </c>
      <c r="M68" s="27">
        <v>0</v>
      </c>
      <c r="N68" s="27">
        <f t="shared" ref="N68:N69" si="17">I68*0.8938636</f>
        <v>46033.975399999996</v>
      </c>
      <c r="O68" s="27">
        <f t="shared" ref="O68:O69" si="18">I68*0.827659</f>
        <v>42624.438500000004</v>
      </c>
      <c r="P68" s="7"/>
    </row>
    <row r="69" spans="1:16" ht="31.5">
      <c r="A69" s="3"/>
      <c r="B69" s="4" t="s">
        <v>117</v>
      </c>
      <c r="C69" s="3" t="s">
        <v>175</v>
      </c>
      <c r="D69" s="25" t="s">
        <v>75</v>
      </c>
      <c r="E69" s="5" t="s">
        <v>27</v>
      </c>
      <c r="F69" s="16" t="s">
        <v>115</v>
      </c>
      <c r="G69" s="16" t="s">
        <v>28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f t="shared" si="17"/>
        <v>0</v>
      </c>
      <c r="O69" s="20">
        <f t="shared" si="18"/>
        <v>0</v>
      </c>
      <c r="P69" s="7"/>
    </row>
    <row r="70" spans="1:16" ht="78.75">
      <c r="A70" s="3"/>
      <c r="B70" s="4" t="s">
        <v>118</v>
      </c>
      <c r="C70" s="3" t="s">
        <v>174</v>
      </c>
      <c r="D70" s="3" t="s">
        <v>40</v>
      </c>
      <c r="E70" s="5" t="s">
        <v>27</v>
      </c>
      <c r="F70" s="3" t="s">
        <v>115</v>
      </c>
      <c r="G70" s="3" t="s">
        <v>28</v>
      </c>
      <c r="H70" s="6">
        <f>I70+N70+O70</f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7"/>
    </row>
    <row r="71" spans="1:16" ht="47.25">
      <c r="A71" s="3" t="s">
        <v>119</v>
      </c>
      <c r="B71" s="4" t="s">
        <v>120</v>
      </c>
      <c r="C71" s="3"/>
      <c r="D71" s="25"/>
      <c r="E71" s="5"/>
      <c r="F71" s="3" t="s">
        <v>115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121</v>
      </c>
      <c r="B72" s="4" t="s">
        <v>122</v>
      </c>
      <c r="C72" s="3"/>
      <c r="D72" s="25"/>
      <c r="E72" s="5"/>
      <c r="F72" s="3" t="s">
        <v>123</v>
      </c>
      <c r="G72" s="3" t="s">
        <v>28</v>
      </c>
      <c r="H72" s="6">
        <v>0</v>
      </c>
      <c r="I72" s="6">
        <f>J72+K72+L72+M72</f>
        <v>163272.29999999999</v>
      </c>
      <c r="J72" s="6">
        <f>J74+J75+J76+J77</f>
        <v>163272.29999999999</v>
      </c>
      <c r="K72" s="6">
        <f t="shared" ref="K72:M72" si="19">K74+K75+K76+K77</f>
        <v>0</v>
      </c>
      <c r="L72" s="6">
        <f t="shared" si="19"/>
        <v>0</v>
      </c>
      <c r="M72" s="6">
        <f t="shared" si="19"/>
        <v>0</v>
      </c>
      <c r="N72" s="6">
        <f t="shared" ref="N72:O72" si="20">N74+N75+N76</f>
        <v>145943.16585828</v>
      </c>
      <c r="O72" s="6">
        <f t="shared" si="20"/>
        <v>135133.78854570002</v>
      </c>
      <c r="P72" s="7"/>
    </row>
    <row r="73" spans="1:16" ht="15.75">
      <c r="A73" s="3"/>
      <c r="B73" s="4" t="s">
        <v>71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118</v>
      </c>
      <c r="C74" s="3" t="s">
        <v>176</v>
      </c>
      <c r="D74" s="3" t="s">
        <v>40</v>
      </c>
      <c r="E74" s="5" t="s">
        <v>27</v>
      </c>
      <c r="F74" s="3" t="s">
        <v>123</v>
      </c>
      <c r="G74" s="3" t="s">
        <v>28</v>
      </c>
      <c r="H74" s="6">
        <f>I74+N74+O74</f>
        <v>0</v>
      </c>
      <c r="I74" s="6">
        <f>J74+K74+L74+M74</f>
        <v>0</v>
      </c>
      <c r="J74" s="6">
        <f t="shared" ref="J74:O74" si="21">K74+L74+M74+N74</f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6">
        <f t="shared" si="21"/>
        <v>0</v>
      </c>
      <c r="P74" s="7"/>
    </row>
    <row r="75" spans="1:16" s="15" customFormat="1" ht="31.5">
      <c r="A75" s="16"/>
      <c r="B75" s="17" t="s">
        <v>124</v>
      </c>
      <c r="C75" s="16" t="s">
        <v>176</v>
      </c>
      <c r="D75" s="16" t="s">
        <v>40</v>
      </c>
      <c r="E75" s="18" t="s">
        <v>27</v>
      </c>
      <c r="F75" s="16" t="s">
        <v>123</v>
      </c>
      <c r="G75" s="16" t="s">
        <v>28</v>
      </c>
      <c r="H75" s="20">
        <v>0</v>
      </c>
      <c r="I75" s="20">
        <f>J75+K75+L75+M75</f>
        <v>112719</v>
      </c>
      <c r="J75" s="20">
        <f>137108-9000-15389</f>
        <v>112719</v>
      </c>
      <c r="K75" s="20">
        <v>0</v>
      </c>
      <c r="L75" s="20">
        <v>0</v>
      </c>
      <c r="M75" s="20">
        <v>0</v>
      </c>
      <c r="N75" s="20">
        <f>I75*0.8938636</f>
        <v>100755.4111284</v>
      </c>
      <c r="O75" s="20">
        <f>I75*0.827659</f>
        <v>93292.894821000009</v>
      </c>
      <c r="P75" s="14"/>
    </row>
    <row r="76" spans="1:16" s="15" customFormat="1" ht="47.25">
      <c r="A76" s="9"/>
      <c r="B76" s="10" t="s">
        <v>125</v>
      </c>
      <c r="C76" s="9" t="s">
        <v>176</v>
      </c>
      <c r="D76" s="9" t="s">
        <v>188</v>
      </c>
      <c r="E76" s="5" t="s">
        <v>27</v>
      </c>
      <c r="F76" s="9" t="s">
        <v>123</v>
      </c>
      <c r="G76" s="9" t="s">
        <v>28</v>
      </c>
      <c r="H76" s="13">
        <v>0</v>
      </c>
      <c r="I76" s="13">
        <f>J76+K76+L76+M76</f>
        <v>50553.3</v>
      </c>
      <c r="J76" s="13">
        <v>50553.3</v>
      </c>
      <c r="K76" s="13">
        <v>0</v>
      </c>
      <c r="L76" s="13">
        <v>0</v>
      </c>
      <c r="M76" s="13">
        <v>0</v>
      </c>
      <c r="N76" s="13">
        <f>I76*0.8938636</f>
        <v>45187.754729879998</v>
      </c>
      <c r="O76" s="13">
        <f>I76*0.827659</f>
        <v>41840.893724700007</v>
      </c>
      <c r="P76" s="14"/>
    </row>
    <row r="77" spans="1:16" s="22" customFormat="1" ht="47.25">
      <c r="A77" s="16"/>
      <c r="B77" s="17" t="s">
        <v>126</v>
      </c>
      <c r="C77" s="16" t="s">
        <v>177</v>
      </c>
      <c r="D77" s="16" t="s">
        <v>75</v>
      </c>
      <c r="E77" s="5" t="s">
        <v>27</v>
      </c>
      <c r="F77" s="16" t="s">
        <v>123</v>
      </c>
      <c r="G77" s="16" t="s">
        <v>28</v>
      </c>
      <c r="H77" s="20">
        <v>0</v>
      </c>
      <c r="I77" s="20">
        <f>J77+K77+L77+M77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f>I77*0.8938636</f>
        <v>0</v>
      </c>
      <c r="O77" s="20">
        <f>I77*0.827659</f>
        <v>0</v>
      </c>
      <c r="P77" s="21"/>
    </row>
    <row r="78" spans="1:16" ht="15.75">
      <c r="A78" s="3" t="s">
        <v>127</v>
      </c>
      <c r="B78" s="4" t="s">
        <v>128</v>
      </c>
      <c r="C78" s="3"/>
      <c r="D78" s="3"/>
      <c r="E78" s="5"/>
      <c r="F78" s="3" t="s">
        <v>129</v>
      </c>
      <c r="G78" s="3" t="s">
        <v>28</v>
      </c>
      <c r="H78" s="6">
        <v>0</v>
      </c>
      <c r="I78" s="6">
        <f>J78+K78+L78+M78</f>
        <v>1818</v>
      </c>
      <c r="J78" s="6">
        <f t="shared" ref="J78:O78" si="22">J80+J81</f>
        <v>1818</v>
      </c>
      <c r="K78" s="6">
        <f t="shared" si="22"/>
        <v>0</v>
      </c>
      <c r="L78" s="6">
        <f t="shared" si="22"/>
        <v>0</v>
      </c>
      <c r="M78" s="6">
        <f t="shared" si="22"/>
        <v>0</v>
      </c>
      <c r="N78" s="6">
        <f t="shared" si="22"/>
        <v>1625.0440248</v>
      </c>
      <c r="O78" s="6">
        <f t="shared" si="22"/>
        <v>1504.6840620000003</v>
      </c>
      <c r="P78" s="7"/>
    </row>
    <row r="79" spans="1:16" ht="15.75">
      <c r="A79" s="3"/>
      <c r="B79" s="4" t="s">
        <v>71</v>
      </c>
      <c r="C79" s="3"/>
      <c r="D79" s="3"/>
      <c r="E79" s="5"/>
      <c r="F79" s="3"/>
      <c r="G79" s="3"/>
      <c r="H79" s="6"/>
      <c r="I79" s="6"/>
      <c r="J79" s="6"/>
      <c r="K79" s="6"/>
      <c r="L79" s="6"/>
      <c r="M79" s="6"/>
      <c r="N79" s="6"/>
      <c r="O79" s="6"/>
      <c r="P79" s="7"/>
    </row>
    <row r="80" spans="1:16" s="15" customFormat="1" ht="15.75">
      <c r="A80" s="9" t="s">
        <v>130</v>
      </c>
      <c r="B80" s="10" t="s">
        <v>128</v>
      </c>
      <c r="C80" s="9" t="s">
        <v>178</v>
      </c>
      <c r="D80" s="9" t="s">
        <v>40</v>
      </c>
      <c r="E80" s="5" t="s">
        <v>27</v>
      </c>
      <c r="F80" s="9" t="s">
        <v>129</v>
      </c>
      <c r="G80" s="9" t="s">
        <v>28</v>
      </c>
      <c r="H80" s="13">
        <v>0</v>
      </c>
      <c r="I80" s="13">
        <f>J80+K80+L80+M80</f>
        <v>718</v>
      </c>
      <c r="J80" s="13">
        <v>718</v>
      </c>
      <c r="K80" s="13">
        <f>4000-4000</f>
        <v>0</v>
      </c>
      <c r="L80" s="13">
        <v>0</v>
      </c>
      <c r="M80" s="13">
        <v>0</v>
      </c>
      <c r="N80" s="27">
        <f t="shared" ref="N80:N81" si="23">I80*0.8938636</f>
        <v>641.7940648</v>
      </c>
      <c r="O80" s="27">
        <f t="shared" ref="O80:O81" si="24">I80*0.827659</f>
        <v>594.25916200000006</v>
      </c>
      <c r="P80" s="14"/>
    </row>
    <row r="81" spans="1:16" ht="15.75">
      <c r="A81" s="3" t="s">
        <v>131</v>
      </c>
      <c r="B81" s="17" t="s">
        <v>128</v>
      </c>
      <c r="C81" s="3" t="s">
        <v>179</v>
      </c>
      <c r="D81" s="3" t="s">
        <v>75</v>
      </c>
      <c r="E81" s="5" t="s">
        <v>27</v>
      </c>
      <c r="F81" s="3" t="s">
        <v>129</v>
      </c>
      <c r="G81" s="3" t="s">
        <v>28</v>
      </c>
      <c r="H81" s="6">
        <v>0</v>
      </c>
      <c r="I81" s="6">
        <f>J81+K81+L81+M81</f>
        <v>1100</v>
      </c>
      <c r="J81" s="6">
        <f>100+1000</f>
        <v>1100</v>
      </c>
      <c r="K81" s="6">
        <f>500-500</f>
        <v>0</v>
      </c>
      <c r="L81" s="6">
        <v>0</v>
      </c>
      <c r="M81" s="6">
        <v>0</v>
      </c>
      <c r="N81" s="20">
        <f t="shared" si="23"/>
        <v>983.24995999999999</v>
      </c>
      <c r="O81" s="20">
        <f t="shared" si="24"/>
        <v>910.42490000000009</v>
      </c>
      <c r="P81" s="7"/>
    </row>
    <row r="82" spans="1:16" ht="31.5">
      <c r="A82" s="3" t="s">
        <v>132</v>
      </c>
      <c r="B82" s="4" t="s">
        <v>133</v>
      </c>
      <c r="C82" s="3" t="s">
        <v>46</v>
      </c>
      <c r="D82" s="3"/>
      <c r="E82" s="5"/>
      <c r="F82" s="3" t="s">
        <v>28</v>
      </c>
      <c r="G82" s="3" t="s">
        <v>28</v>
      </c>
      <c r="H82" s="6">
        <v>0</v>
      </c>
      <c r="I82" s="6">
        <f>I83+I84+I85+I86+I87+I88</f>
        <v>466263</v>
      </c>
      <c r="J82" s="6">
        <f>J83+J84+J85+J86+J87+J88</f>
        <v>466263</v>
      </c>
      <c r="K82" s="6">
        <f t="shared" ref="K82:M82" si="25">K83+K84+K85+K86</f>
        <v>0</v>
      </c>
      <c r="L82" s="6">
        <f t="shared" si="25"/>
        <v>0</v>
      </c>
      <c r="M82" s="6">
        <f t="shared" si="25"/>
        <v>0</v>
      </c>
      <c r="N82" s="31">
        <f>I82*0.8938636</f>
        <v>416775.52372679999</v>
      </c>
      <c r="O82" s="31">
        <f>I82*0.827659</f>
        <v>385906.76831700001</v>
      </c>
      <c r="P82" s="7"/>
    </row>
    <row r="83" spans="1:16" s="15" customFormat="1" ht="69" customHeight="1">
      <c r="A83" s="9" t="s">
        <v>134</v>
      </c>
      <c r="B83" s="35" t="s">
        <v>196</v>
      </c>
      <c r="C83" s="25" t="s">
        <v>151</v>
      </c>
      <c r="D83" s="25" t="s">
        <v>75</v>
      </c>
      <c r="E83" s="11" t="s">
        <v>182</v>
      </c>
      <c r="F83" s="25" t="s">
        <v>123</v>
      </c>
      <c r="G83" s="25" t="s">
        <v>28</v>
      </c>
      <c r="H83" s="13">
        <v>0</v>
      </c>
      <c r="I83" s="13">
        <f>J83+K83+L83+M83</f>
        <v>64600</v>
      </c>
      <c r="J83" s="13">
        <f>J20</f>
        <v>64600</v>
      </c>
      <c r="K83" s="13">
        <v>0</v>
      </c>
      <c r="L83" s="13">
        <v>0</v>
      </c>
      <c r="M83" s="13">
        <v>0</v>
      </c>
      <c r="N83" s="12">
        <f>I83*0.8938636</f>
        <v>57743.588559999997</v>
      </c>
      <c r="O83" s="12">
        <f>I83*0.827659</f>
        <v>53466.771400000005</v>
      </c>
      <c r="P83" s="14"/>
    </row>
    <row r="84" spans="1:16" s="15" customFormat="1" ht="63">
      <c r="A84" s="9" t="s">
        <v>135</v>
      </c>
      <c r="B84" s="10" t="s">
        <v>197</v>
      </c>
      <c r="C84" s="25" t="s">
        <v>152</v>
      </c>
      <c r="D84" s="25" t="s">
        <v>49</v>
      </c>
      <c r="E84" s="11" t="s">
        <v>183</v>
      </c>
      <c r="F84" s="25" t="s">
        <v>123</v>
      </c>
      <c r="G84" s="25" t="s">
        <v>28</v>
      </c>
      <c r="H84" s="13">
        <v>0</v>
      </c>
      <c r="I84" s="13">
        <f>J84+K84+L84+M84</f>
        <v>90440</v>
      </c>
      <c r="J84" s="13">
        <f>J21</f>
        <v>90440</v>
      </c>
      <c r="K84" s="13">
        <v>0</v>
      </c>
      <c r="L84" s="13">
        <v>0</v>
      </c>
      <c r="M84" s="13">
        <v>0</v>
      </c>
      <c r="N84" s="12">
        <f>I84*0.8938636</f>
        <v>80841.023983999999</v>
      </c>
      <c r="O84" s="12">
        <f>I84*0.827659</f>
        <v>74853.479959999997</v>
      </c>
      <c r="P84" s="14"/>
    </row>
    <row r="85" spans="1:16" ht="50.25" customHeight="1">
      <c r="A85" s="3" t="s">
        <v>136</v>
      </c>
      <c r="B85" s="4" t="s">
        <v>186</v>
      </c>
      <c r="C85" s="3" t="s">
        <v>153</v>
      </c>
      <c r="D85" s="25" t="s">
        <v>75</v>
      </c>
      <c r="E85" s="5" t="s">
        <v>187</v>
      </c>
      <c r="F85" s="3" t="s">
        <v>103</v>
      </c>
      <c r="G85" s="3" t="s">
        <v>28</v>
      </c>
      <c r="H85" s="6">
        <v>0</v>
      </c>
      <c r="I85" s="6">
        <f t="shared" ref="I85:I88" si="26">J85+K85+L85+M85</f>
        <v>0</v>
      </c>
      <c r="J85" s="6"/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/>
    </row>
    <row r="86" spans="1:16" ht="47.25">
      <c r="A86" s="3" t="s">
        <v>137</v>
      </c>
      <c r="B86" s="36" t="s">
        <v>198</v>
      </c>
      <c r="C86" s="3" t="s">
        <v>151</v>
      </c>
      <c r="D86" s="3" t="s">
        <v>75</v>
      </c>
      <c r="E86" s="5" t="s">
        <v>184</v>
      </c>
      <c r="F86" s="3" t="s">
        <v>123</v>
      </c>
      <c r="G86" s="3" t="s">
        <v>28</v>
      </c>
      <c r="H86" s="6">
        <v>0</v>
      </c>
      <c r="I86" s="6">
        <f t="shared" si="26"/>
        <v>62023</v>
      </c>
      <c r="J86" s="6">
        <f>J23</f>
        <v>62023</v>
      </c>
      <c r="K86" s="6">
        <v>0</v>
      </c>
      <c r="L86" s="6">
        <v>0</v>
      </c>
      <c r="M86" s="6">
        <v>0</v>
      </c>
      <c r="N86" s="6">
        <f t="shared" ref="N86:N88" si="27">I86*0.8938636</f>
        <v>55440.102062799997</v>
      </c>
      <c r="O86" s="6">
        <f t="shared" ref="O86:O88" si="28">I86*0.827659</f>
        <v>51333.894157000002</v>
      </c>
      <c r="P86" s="7"/>
    </row>
    <row r="87" spans="1:16" s="15" customFormat="1" ht="117" customHeight="1">
      <c r="A87" s="9" t="s">
        <v>138</v>
      </c>
      <c r="B87" s="10" t="s">
        <v>191</v>
      </c>
      <c r="C87" s="9" t="s">
        <v>153</v>
      </c>
      <c r="D87" s="9" t="s">
        <v>75</v>
      </c>
      <c r="E87" s="11" t="s">
        <v>192</v>
      </c>
      <c r="F87" s="9" t="s">
        <v>103</v>
      </c>
      <c r="G87" s="9" t="s">
        <v>28</v>
      </c>
      <c r="H87" s="13">
        <v>0</v>
      </c>
      <c r="I87" s="13">
        <f t="shared" si="26"/>
        <v>249200</v>
      </c>
      <c r="J87" s="13">
        <f>477700-200000-28500</f>
        <v>249200</v>
      </c>
      <c r="K87" s="13">
        <v>0</v>
      </c>
      <c r="L87" s="13">
        <v>0</v>
      </c>
      <c r="M87" s="13">
        <v>0</v>
      </c>
      <c r="N87" s="12">
        <f t="shared" si="27"/>
        <v>222750.80911999999</v>
      </c>
      <c r="O87" s="12">
        <f t="shared" si="28"/>
        <v>206252.62280000001</v>
      </c>
      <c r="P87" s="14"/>
    </row>
    <row r="88" spans="1:16" s="15" customFormat="1" ht="101.25" customHeight="1">
      <c r="A88" s="9" t="s">
        <v>139</v>
      </c>
      <c r="B88" s="10" t="s">
        <v>193</v>
      </c>
      <c r="C88" s="9" t="s">
        <v>153</v>
      </c>
      <c r="D88" s="9" t="s">
        <v>194</v>
      </c>
      <c r="E88" s="11" t="s">
        <v>195</v>
      </c>
      <c r="F88" s="9" t="s">
        <v>103</v>
      </c>
      <c r="G88" s="9" t="s">
        <v>28</v>
      </c>
      <c r="H88" s="13">
        <v>0</v>
      </c>
      <c r="I88" s="13">
        <f t="shared" si="26"/>
        <v>0</v>
      </c>
      <c r="J88" s="13">
        <f>955600-6500-949100</f>
        <v>0</v>
      </c>
      <c r="K88" s="13">
        <v>0</v>
      </c>
      <c r="L88" s="13">
        <v>0</v>
      </c>
      <c r="M88" s="13">
        <v>0</v>
      </c>
      <c r="N88" s="12">
        <f t="shared" si="27"/>
        <v>0</v>
      </c>
      <c r="O88" s="12">
        <f t="shared" si="28"/>
        <v>0</v>
      </c>
      <c r="P88" s="14"/>
    </row>
    <row r="89" spans="1:16" ht="15.75">
      <c r="A89" s="3" t="s">
        <v>140</v>
      </c>
      <c r="B89" s="4" t="s">
        <v>141</v>
      </c>
      <c r="C89" s="3" t="s">
        <v>181</v>
      </c>
      <c r="D89" s="3" t="s">
        <v>181</v>
      </c>
      <c r="E89" s="5">
        <v>0</v>
      </c>
      <c r="F89" s="3" t="s">
        <v>28</v>
      </c>
      <c r="G89" s="3" t="s">
        <v>28</v>
      </c>
      <c r="H89" s="6">
        <v>0</v>
      </c>
      <c r="I89" s="6">
        <f>J89+K89+L89+M89</f>
        <v>0</v>
      </c>
      <c r="J89" s="6">
        <v>0</v>
      </c>
      <c r="K89" s="6">
        <v>0</v>
      </c>
      <c r="L89" s="6">
        <v>0</v>
      </c>
      <c r="M89" s="6">
        <v>0</v>
      </c>
      <c r="N89" s="26">
        <f>I89*0.8938636</f>
        <v>0</v>
      </c>
      <c r="O89" s="26">
        <f>I89*0.827659</f>
        <v>0</v>
      </c>
      <c r="P89" s="7"/>
    </row>
    <row r="90" spans="1:16" ht="195" customHeight="1">
      <c r="A90" s="3" t="s">
        <v>142</v>
      </c>
      <c r="B90" s="4" t="s">
        <v>143</v>
      </c>
      <c r="C90" s="3" t="s">
        <v>180</v>
      </c>
      <c r="D90" s="3" t="s">
        <v>185</v>
      </c>
      <c r="E90" s="5" t="s">
        <v>27</v>
      </c>
      <c r="F90" s="3" t="s">
        <v>123</v>
      </c>
      <c r="G90" s="3" t="s">
        <v>28</v>
      </c>
      <c r="H90" s="6">
        <v>0</v>
      </c>
      <c r="I90" s="6">
        <f>J90+K90+L90+M90</f>
        <v>104000</v>
      </c>
      <c r="J90" s="6">
        <v>104000</v>
      </c>
      <c r="K90" s="6">
        <v>0</v>
      </c>
      <c r="L90" s="6">
        <v>0</v>
      </c>
      <c r="M90" s="6">
        <v>0</v>
      </c>
      <c r="N90" s="31">
        <f>I90*0.8938636</f>
        <v>92961.814400000003</v>
      </c>
      <c r="O90" s="31">
        <f>I90*0.827659</f>
        <v>86076.536000000007</v>
      </c>
      <c r="P90" s="7"/>
    </row>
    <row r="91" spans="1:16" ht="15.75">
      <c r="A91" s="5" t="s">
        <v>144</v>
      </c>
      <c r="B91" s="4" t="s">
        <v>145</v>
      </c>
      <c r="C91" s="3"/>
      <c r="D91" s="3"/>
      <c r="E91" s="5"/>
      <c r="F91" s="4"/>
      <c r="G91" s="4"/>
      <c r="H91" s="6">
        <v>0</v>
      </c>
      <c r="I91" s="6">
        <v>0</v>
      </c>
      <c r="J91" s="6" t="s">
        <v>29</v>
      </c>
      <c r="K91" s="6" t="s">
        <v>29</v>
      </c>
      <c r="L91" s="6" t="s">
        <v>29</v>
      </c>
      <c r="M91" s="6" t="s">
        <v>29</v>
      </c>
      <c r="N91" s="6"/>
      <c r="O91" s="6"/>
    </row>
    <row r="92" spans="1:16" ht="15.75">
      <c r="A92" s="5" t="s">
        <v>146</v>
      </c>
      <c r="B92" s="4" t="s">
        <v>147</v>
      </c>
      <c r="C92" s="3"/>
      <c r="D92" s="3"/>
      <c r="E92" s="5"/>
      <c r="F92" s="4"/>
      <c r="G92" s="4"/>
      <c r="H92" s="6">
        <f t="shared" ref="H92:H93" si="29">I92+N92+O92</f>
        <v>0</v>
      </c>
      <c r="I92" s="6">
        <f t="shared" ref="I92:I93" si="30">J92+K92+L92+M92</f>
        <v>0</v>
      </c>
      <c r="J92" s="6"/>
      <c r="K92" s="6"/>
      <c r="L92" s="6"/>
      <c r="M92" s="6"/>
      <c r="N92" s="6"/>
      <c r="O92" s="6"/>
    </row>
    <row r="93" spans="1:16" ht="190.5" customHeight="1">
      <c r="A93" s="5"/>
      <c r="B93" s="4" t="s">
        <v>148</v>
      </c>
      <c r="C93" s="3"/>
      <c r="D93" s="3"/>
      <c r="E93" s="5"/>
      <c r="F93" s="4"/>
      <c r="G93" s="4"/>
      <c r="H93" s="6">
        <f t="shared" si="29"/>
        <v>0</v>
      </c>
      <c r="I93" s="6">
        <f t="shared" si="30"/>
        <v>0</v>
      </c>
      <c r="J93" s="6"/>
      <c r="K93" s="6"/>
      <c r="L93" s="6"/>
      <c r="M93" s="6"/>
      <c r="N93" s="6"/>
      <c r="O93" s="6"/>
    </row>
    <row r="94" spans="1:16" ht="15.75">
      <c r="A94" s="29"/>
      <c r="F94"/>
      <c r="G94"/>
    </row>
    <row r="95" spans="1:16" ht="15.75">
      <c r="A95" s="30" t="s">
        <v>159</v>
      </c>
      <c r="D95" s="44" t="s">
        <v>154</v>
      </c>
      <c r="E95" s="44"/>
      <c r="F95" s="32" t="s">
        <v>160</v>
      </c>
      <c r="G95" s="32"/>
    </row>
    <row r="96" spans="1:16" ht="15.75">
      <c r="A96" s="29"/>
      <c r="F96" s="32"/>
      <c r="G96" s="32"/>
    </row>
    <row r="97" spans="1:7" ht="15.75">
      <c r="A97" s="30" t="s">
        <v>149</v>
      </c>
      <c r="D97" s="44" t="s">
        <v>154</v>
      </c>
      <c r="E97" s="44"/>
      <c r="F97" s="32" t="s">
        <v>155</v>
      </c>
      <c r="G97" s="32"/>
    </row>
    <row r="98" spans="1:7" ht="15.75">
      <c r="A98" s="29"/>
      <c r="F98"/>
      <c r="G98"/>
    </row>
    <row r="99" spans="1:7" ht="15.75">
      <c r="A99" s="29" t="s">
        <v>150</v>
      </c>
      <c r="F99"/>
      <c r="G99"/>
    </row>
    <row r="100" spans="1:7" ht="0.75" customHeight="1">
      <c r="A100" s="29"/>
      <c r="F100"/>
      <c r="G100"/>
    </row>
    <row r="101" spans="1:7" ht="15.75">
      <c r="A101" s="29" t="s">
        <v>156</v>
      </c>
      <c r="C101" s="45" t="s">
        <v>157</v>
      </c>
      <c r="D101" s="45"/>
      <c r="E101" s="45"/>
      <c r="F101"/>
      <c r="G101"/>
    </row>
    <row r="102" spans="1:7" ht="15.75">
      <c r="A102" s="29" t="s">
        <v>158</v>
      </c>
      <c r="F102"/>
      <c r="G102"/>
    </row>
    <row r="103" spans="1:7" ht="15.75">
      <c r="A103" s="29" t="s">
        <v>203</v>
      </c>
      <c r="F103"/>
      <c r="G103"/>
    </row>
  </sheetData>
  <mergeCells count="16">
    <mergeCell ref="C101:E101"/>
    <mergeCell ref="B2:I2"/>
    <mergeCell ref="A4:A9"/>
    <mergeCell ref="B4:B9"/>
    <mergeCell ref="C4:C9"/>
    <mergeCell ref="D4:D9"/>
    <mergeCell ref="E4:E9"/>
    <mergeCell ref="F4:F9"/>
    <mergeCell ref="G4:G9"/>
    <mergeCell ref="H4:H9"/>
    <mergeCell ref="I4:O4"/>
    <mergeCell ref="I5:M6"/>
    <mergeCell ref="I7:I9"/>
    <mergeCell ref="J7:M7"/>
    <mergeCell ref="D95:E95"/>
    <mergeCell ref="D97:E97"/>
  </mergeCells>
  <pageMargins left="0.98425196850393704" right="0" top="0.78740157480314965" bottom="0" header="0.19685039370078741" footer="0.31496062992125984"/>
  <pageSetup paperSize="9" scale="42" fitToWidth="2" fitToHeight="2" orientation="portrait" r:id="rId1"/>
  <rowBreaks count="2" manualBreakCount="2">
    <brk id="39" max="14" man="1"/>
    <brk id="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3"/>
  <sheetViews>
    <sheetView tabSelected="1" view="pageBreakPreview" topLeftCell="A28" zoomScale="60" workbookViewId="0">
      <selection activeCell="L96" sqref="L96"/>
    </sheetView>
  </sheetViews>
  <sheetFormatPr defaultColWidth="12.7109375" defaultRowHeight="15"/>
  <cols>
    <col min="1" max="1" width="7.28515625" style="40" customWidth="1"/>
    <col min="2" max="2" width="25.42578125" customWidth="1"/>
    <col min="3" max="3" width="12.85546875" style="40" customWidth="1"/>
    <col min="4" max="4" width="9.7109375" style="40" customWidth="1"/>
    <col min="5" max="5" width="16.28515625" style="1" customWidth="1"/>
    <col min="6" max="6" width="9.140625" style="40" customWidth="1"/>
    <col min="7" max="7" width="10" style="40" customWidth="1"/>
    <col min="8" max="8" width="7.5703125" customWidth="1"/>
    <col min="9" max="9" width="16.85546875" customWidth="1"/>
    <col min="10" max="10" width="15.42578125" customWidth="1"/>
    <col min="11" max="11" width="16" customWidth="1"/>
    <col min="12" max="12" width="14.7109375" customWidth="1"/>
    <col min="13" max="14" width="15.28515625" customWidth="1"/>
    <col min="15" max="15" width="14.7109375" customWidth="1"/>
    <col min="257" max="257" width="7.28515625" customWidth="1"/>
    <col min="258" max="258" width="24.85546875" customWidth="1"/>
    <col min="264" max="264" width="14.140625" customWidth="1"/>
    <col min="513" max="513" width="7.28515625" customWidth="1"/>
    <col min="514" max="514" width="24.85546875" customWidth="1"/>
    <col min="520" max="520" width="14.140625" customWidth="1"/>
    <col min="769" max="769" width="7.28515625" customWidth="1"/>
    <col min="770" max="770" width="24.85546875" customWidth="1"/>
    <col min="776" max="776" width="14.140625" customWidth="1"/>
    <col min="1025" max="1025" width="7.28515625" customWidth="1"/>
    <col min="1026" max="1026" width="24.85546875" customWidth="1"/>
    <col min="1032" max="1032" width="14.140625" customWidth="1"/>
    <col min="1281" max="1281" width="7.28515625" customWidth="1"/>
    <col min="1282" max="1282" width="24.85546875" customWidth="1"/>
    <col min="1288" max="1288" width="14.140625" customWidth="1"/>
    <col min="1537" max="1537" width="7.28515625" customWidth="1"/>
    <col min="1538" max="1538" width="24.85546875" customWidth="1"/>
    <col min="1544" max="1544" width="14.140625" customWidth="1"/>
    <col min="1793" max="1793" width="7.28515625" customWidth="1"/>
    <col min="1794" max="1794" width="24.85546875" customWidth="1"/>
    <col min="1800" max="1800" width="14.140625" customWidth="1"/>
    <col min="2049" max="2049" width="7.28515625" customWidth="1"/>
    <col min="2050" max="2050" width="24.85546875" customWidth="1"/>
    <col min="2056" max="2056" width="14.140625" customWidth="1"/>
    <col min="2305" max="2305" width="7.28515625" customWidth="1"/>
    <col min="2306" max="2306" width="24.85546875" customWidth="1"/>
    <col min="2312" max="2312" width="14.140625" customWidth="1"/>
    <col min="2561" max="2561" width="7.28515625" customWidth="1"/>
    <col min="2562" max="2562" width="24.85546875" customWidth="1"/>
    <col min="2568" max="2568" width="14.140625" customWidth="1"/>
    <col min="2817" max="2817" width="7.28515625" customWidth="1"/>
    <col min="2818" max="2818" width="24.85546875" customWidth="1"/>
    <col min="2824" max="2824" width="14.140625" customWidth="1"/>
    <col min="3073" max="3073" width="7.28515625" customWidth="1"/>
    <col min="3074" max="3074" width="24.85546875" customWidth="1"/>
    <col min="3080" max="3080" width="14.140625" customWidth="1"/>
    <col min="3329" max="3329" width="7.28515625" customWidth="1"/>
    <col min="3330" max="3330" width="24.85546875" customWidth="1"/>
    <col min="3336" max="3336" width="14.140625" customWidth="1"/>
    <col min="3585" max="3585" width="7.28515625" customWidth="1"/>
    <col min="3586" max="3586" width="24.85546875" customWidth="1"/>
    <col min="3592" max="3592" width="14.140625" customWidth="1"/>
    <col min="3841" max="3841" width="7.28515625" customWidth="1"/>
    <col min="3842" max="3842" width="24.85546875" customWidth="1"/>
    <col min="3848" max="3848" width="14.140625" customWidth="1"/>
    <col min="4097" max="4097" width="7.28515625" customWidth="1"/>
    <col min="4098" max="4098" width="24.85546875" customWidth="1"/>
    <col min="4104" max="4104" width="14.140625" customWidth="1"/>
    <col min="4353" max="4353" width="7.28515625" customWidth="1"/>
    <col min="4354" max="4354" width="24.85546875" customWidth="1"/>
    <col min="4360" max="4360" width="14.140625" customWidth="1"/>
    <col min="4609" max="4609" width="7.28515625" customWidth="1"/>
    <col min="4610" max="4610" width="24.85546875" customWidth="1"/>
    <col min="4616" max="4616" width="14.140625" customWidth="1"/>
    <col min="4865" max="4865" width="7.28515625" customWidth="1"/>
    <col min="4866" max="4866" width="24.85546875" customWidth="1"/>
    <col min="4872" max="4872" width="14.140625" customWidth="1"/>
    <col min="5121" max="5121" width="7.28515625" customWidth="1"/>
    <col min="5122" max="5122" width="24.85546875" customWidth="1"/>
    <col min="5128" max="5128" width="14.140625" customWidth="1"/>
    <col min="5377" max="5377" width="7.28515625" customWidth="1"/>
    <col min="5378" max="5378" width="24.85546875" customWidth="1"/>
    <col min="5384" max="5384" width="14.140625" customWidth="1"/>
    <col min="5633" max="5633" width="7.28515625" customWidth="1"/>
    <col min="5634" max="5634" width="24.85546875" customWidth="1"/>
    <col min="5640" max="5640" width="14.140625" customWidth="1"/>
    <col min="5889" max="5889" width="7.28515625" customWidth="1"/>
    <col min="5890" max="5890" width="24.85546875" customWidth="1"/>
    <col min="5896" max="5896" width="14.140625" customWidth="1"/>
    <col min="6145" max="6145" width="7.28515625" customWidth="1"/>
    <col min="6146" max="6146" width="24.85546875" customWidth="1"/>
    <col min="6152" max="6152" width="14.140625" customWidth="1"/>
    <col min="6401" max="6401" width="7.28515625" customWidth="1"/>
    <col min="6402" max="6402" width="24.85546875" customWidth="1"/>
    <col min="6408" max="6408" width="14.140625" customWidth="1"/>
    <col min="6657" max="6657" width="7.28515625" customWidth="1"/>
    <col min="6658" max="6658" width="24.85546875" customWidth="1"/>
    <col min="6664" max="6664" width="14.140625" customWidth="1"/>
    <col min="6913" max="6913" width="7.28515625" customWidth="1"/>
    <col min="6914" max="6914" width="24.85546875" customWidth="1"/>
    <col min="6920" max="6920" width="14.140625" customWidth="1"/>
    <col min="7169" max="7169" width="7.28515625" customWidth="1"/>
    <col min="7170" max="7170" width="24.85546875" customWidth="1"/>
    <col min="7176" max="7176" width="14.140625" customWidth="1"/>
    <col min="7425" max="7425" width="7.28515625" customWidth="1"/>
    <col min="7426" max="7426" width="24.85546875" customWidth="1"/>
    <col min="7432" max="7432" width="14.140625" customWidth="1"/>
    <col min="7681" max="7681" width="7.28515625" customWidth="1"/>
    <col min="7682" max="7682" width="24.85546875" customWidth="1"/>
    <col min="7688" max="7688" width="14.140625" customWidth="1"/>
    <col min="7937" max="7937" width="7.28515625" customWidth="1"/>
    <col min="7938" max="7938" width="24.85546875" customWidth="1"/>
    <col min="7944" max="7944" width="14.140625" customWidth="1"/>
    <col min="8193" max="8193" width="7.28515625" customWidth="1"/>
    <col min="8194" max="8194" width="24.85546875" customWidth="1"/>
    <col min="8200" max="8200" width="14.140625" customWidth="1"/>
    <col min="8449" max="8449" width="7.28515625" customWidth="1"/>
    <col min="8450" max="8450" width="24.85546875" customWidth="1"/>
    <col min="8456" max="8456" width="14.140625" customWidth="1"/>
    <col min="8705" max="8705" width="7.28515625" customWidth="1"/>
    <col min="8706" max="8706" width="24.85546875" customWidth="1"/>
    <col min="8712" max="8712" width="14.140625" customWidth="1"/>
    <col min="8961" max="8961" width="7.28515625" customWidth="1"/>
    <col min="8962" max="8962" width="24.85546875" customWidth="1"/>
    <col min="8968" max="8968" width="14.140625" customWidth="1"/>
    <col min="9217" max="9217" width="7.28515625" customWidth="1"/>
    <col min="9218" max="9218" width="24.85546875" customWidth="1"/>
    <col min="9224" max="9224" width="14.140625" customWidth="1"/>
    <col min="9473" max="9473" width="7.28515625" customWidth="1"/>
    <col min="9474" max="9474" width="24.85546875" customWidth="1"/>
    <col min="9480" max="9480" width="14.140625" customWidth="1"/>
    <col min="9729" max="9729" width="7.28515625" customWidth="1"/>
    <col min="9730" max="9730" width="24.85546875" customWidth="1"/>
    <col min="9736" max="9736" width="14.140625" customWidth="1"/>
    <col min="9985" max="9985" width="7.28515625" customWidth="1"/>
    <col min="9986" max="9986" width="24.85546875" customWidth="1"/>
    <col min="9992" max="9992" width="14.140625" customWidth="1"/>
    <col min="10241" max="10241" width="7.28515625" customWidth="1"/>
    <col min="10242" max="10242" width="24.85546875" customWidth="1"/>
    <col min="10248" max="10248" width="14.140625" customWidth="1"/>
    <col min="10497" max="10497" width="7.28515625" customWidth="1"/>
    <col min="10498" max="10498" width="24.85546875" customWidth="1"/>
    <col min="10504" max="10504" width="14.140625" customWidth="1"/>
    <col min="10753" max="10753" width="7.28515625" customWidth="1"/>
    <col min="10754" max="10754" width="24.85546875" customWidth="1"/>
    <col min="10760" max="10760" width="14.140625" customWidth="1"/>
    <col min="11009" max="11009" width="7.28515625" customWidth="1"/>
    <col min="11010" max="11010" width="24.85546875" customWidth="1"/>
    <col min="11016" max="11016" width="14.140625" customWidth="1"/>
    <col min="11265" max="11265" width="7.28515625" customWidth="1"/>
    <col min="11266" max="11266" width="24.85546875" customWidth="1"/>
    <col min="11272" max="11272" width="14.140625" customWidth="1"/>
    <col min="11521" max="11521" width="7.28515625" customWidth="1"/>
    <col min="11522" max="11522" width="24.85546875" customWidth="1"/>
    <col min="11528" max="11528" width="14.140625" customWidth="1"/>
    <col min="11777" max="11777" width="7.28515625" customWidth="1"/>
    <col min="11778" max="11778" width="24.85546875" customWidth="1"/>
    <col min="11784" max="11784" width="14.140625" customWidth="1"/>
    <col min="12033" max="12033" width="7.28515625" customWidth="1"/>
    <col min="12034" max="12034" width="24.85546875" customWidth="1"/>
    <col min="12040" max="12040" width="14.140625" customWidth="1"/>
    <col min="12289" max="12289" width="7.28515625" customWidth="1"/>
    <col min="12290" max="12290" width="24.85546875" customWidth="1"/>
    <col min="12296" max="12296" width="14.140625" customWidth="1"/>
    <col min="12545" max="12545" width="7.28515625" customWidth="1"/>
    <col min="12546" max="12546" width="24.85546875" customWidth="1"/>
    <col min="12552" max="12552" width="14.140625" customWidth="1"/>
    <col min="12801" max="12801" width="7.28515625" customWidth="1"/>
    <col min="12802" max="12802" width="24.85546875" customWidth="1"/>
    <col min="12808" max="12808" width="14.140625" customWidth="1"/>
    <col min="13057" max="13057" width="7.28515625" customWidth="1"/>
    <col min="13058" max="13058" width="24.85546875" customWidth="1"/>
    <col min="13064" max="13064" width="14.140625" customWidth="1"/>
    <col min="13313" max="13313" width="7.28515625" customWidth="1"/>
    <col min="13314" max="13314" width="24.85546875" customWidth="1"/>
    <col min="13320" max="13320" width="14.140625" customWidth="1"/>
    <col min="13569" max="13569" width="7.28515625" customWidth="1"/>
    <col min="13570" max="13570" width="24.85546875" customWidth="1"/>
    <col min="13576" max="13576" width="14.140625" customWidth="1"/>
    <col min="13825" max="13825" width="7.28515625" customWidth="1"/>
    <col min="13826" max="13826" width="24.85546875" customWidth="1"/>
    <col min="13832" max="13832" width="14.140625" customWidth="1"/>
    <col min="14081" max="14081" width="7.28515625" customWidth="1"/>
    <col min="14082" max="14082" width="24.85546875" customWidth="1"/>
    <col min="14088" max="14088" width="14.140625" customWidth="1"/>
    <col min="14337" max="14337" width="7.28515625" customWidth="1"/>
    <col min="14338" max="14338" width="24.85546875" customWidth="1"/>
    <col min="14344" max="14344" width="14.140625" customWidth="1"/>
    <col min="14593" max="14593" width="7.28515625" customWidth="1"/>
    <col min="14594" max="14594" width="24.85546875" customWidth="1"/>
    <col min="14600" max="14600" width="14.140625" customWidth="1"/>
    <col min="14849" max="14849" width="7.28515625" customWidth="1"/>
    <col min="14850" max="14850" width="24.85546875" customWidth="1"/>
    <col min="14856" max="14856" width="14.140625" customWidth="1"/>
    <col min="15105" max="15105" width="7.28515625" customWidth="1"/>
    <col min="15106" max="15106" width="24.85546875" customWidth="1"/>
    <col min="15112" max="15112" width="14.140625" customWidth="1"/>
    <col min="15361" max="15361" width="7.28515625" customWidth="1"/>
    <col min="15362" max="15362" width="24.85546875" customWidth="1"/>
    <col min="15368" max="15368" width="14.140625" customWidth="1"/>
    <col min="15617" max="15617" width="7.28515625" customWidth="1"/>
    <col min="15618" max="15618" width="24.85546875" customWidth="1"/>
    <col min="15624" max="15624" width="14.140625" customWidth="1"/>
    <col min="15873" max="15873" width="7.28515625" customWidth="1"/>
    <col min="15874" max="15874" width="24.85546875" customWidth="1"/>
    <col min="15880" max="15880" width="14.140625" customWidth="1"/>
    <col min="16129" max="16129" width="7.28515625" customWidth="1"/>
    <col min="16130" max="16130" width="24.85546875" customWidth="1"/>
    <col min="16136" max="16136" width="14.140625" customWidth="1"/>
  </cols>
  <sheetData>
    <row r="2" spans="1:16" ht="15.75">
      <c r="B2" s="46" t="s">
        <v>204</v>
      </c>
      <c r="C2" s="46"/>
      <c r="D2" s="46"/>
      <c r="E2" s="46"/>
      <c r="F2" s="46"/>
      <c r="G2" s="46"/>
      <c r="H2" s="46"/>
      <c r="I2" s="46"/>
    </row>
    <row r="3" spans="1:16" ht="16.5" customHeight="1"/>
    <row r="4" spans="1:16">
      <c r="A4" s="42" t="s">
        <v>0</v>
      </c>
      <c r="B4" s="43" t="s">
        <v>1</v>
      </c>
      <c r="C4" s="42" t="s">
        <v>2</v>
      </c>
      <c r="D4" s="42" t="s">
        <v>3</v>
      </c>
      <c r="E4" s="43" t="s">
        <v>4</v>
      </c>
      <c r="F4" s="42" t="s">
        <v>5</v>
      </c>
      <c r="G4" s="42" t="s">
        <v>6</v>
      </c>
      <c r="H4" s="43" t="s">
        <v>7</v>
      </c>
      <c r="I4" s="43" t="s">
        <v>8</v>
      </c>
      <c r="J4" s="43"/>
      <c r="K4" s="43"/>
      <c r="L4" s="43"/>
      <c r="M4" s="43"/>
      <c r="N4" s="43"/>
      <c r="O4" s="43"/>
    </row>
    <row r="5" spans="1:16">
      <c r="A5" s="42"/>
      <c r="B5" s="43"/>
      <c r="C5" s="42"/>
      <c r="D5" s="42"/>
      <c r="E5" s="43"/>
      <c r="F5" s="42"/>
      <c r="G5" s="42"/>
      <c r="H5" s="43"/>
      <c r="I5" s="43" t="s">
        <v>9</v>
      </c>
      <c r="J5" s="43"/>
      <c r="K5" s="43"/>
      <c r="L5" s="43"/>
      <c r="M5" s="43"/>
      <c r="N5" s="41" t="s">
        <v>10</v>
      </c>
      <c r="O5" s="41" t="s">
        <v>11</v>
      </c>
    </row>
    <row r="6" spans="1:16">
      <c r="A6" s="42"/>
      <c r="B6" s="43"/>
      <c r="C6" s="42"/>
      <c r="D6" s="42"/>
      <c r="E6" s="43"/>
      <c r="F6" s="42"/>
      <c r="G6" s="42"/>
      <c r="H6" s="43"/>
      <c r="I6" s="43"/>
      <c r="J6" s="43"/>
      <c r="K6" s="43"/>
      <c r="L6" s="43"/>
      <c r="M6" s="43"/>
      <c r="N6" s="41" t="s">
        <v>12</v>
      </c>
      <c r="O6" s="41" t="s">
        <v>13</v>
      </c>
    </row>
    <row r="7" spans="1:16">
      <c r="A7" s="42"/>
      <c r="B7" s="43"/>
      <c r="C7" s="42"/>
      <c r="D7" s="42"/>
      <c r="E7" s="43"/>
      <c r="F7" s="42"/>
      <c r="G7" s="42"/>
      <c r="H7" s="43"/>
      <c r="I7" s="43" t="s">
        <v>14</v>
      </c>
      <c r="J7" s="43" t="s">
        <v>15</v>
      </c>
      <c r="K7" s="43"/>
      <c r="L7" s="43"/>
      <c r="M7" s="43"/>
      <c r="N7" s="41" t="s">
        <v>16</v>
      </c>
      <c r="O7" s="41" t="s">
        <v>17</v>
      </c>
    </row>
    <row r="8" spans="1:16">
      <c r="A8" s="42"/>
      <c r="B8" s="43"/>
      <c r="C8" s="42"/>
      <c r="D8" s="42"/>
      <c r="E8" s="43"/>
      <c r="F8" s="42"/>
      <c r="G8" s="42"/>
      <c r="H8" s="43"/>
      <c r="I8" s="43"/>
      <c r="J8" s="41" t="s">
        <v>18</v>
      </c>
      <c r="K8" s="41" t="s">
        <v>19</v>
      </c>
      <c r="L8" s="41" t="s">
        <v>20</v>
      </c>
      <c r="M8" s="41" t="s">
        <v>21</v>
      </c>
      <c r="N8" s="2"/>
      <c r="O8" s="41" t="s">
        <v>22</v>
      </c>
    </row>
    <row r="9" spans="1:16">
      <c r="A9" s="42"/>
      <c r="B9" s="43"/>
      <c r="C9" s="42"/>
      <c r="D9" s="42"/>
      <c r="E9" s="43"/>
      <c r="F9" s="42"/>
      <c r="G9" s="42"/>
      <c r="H9" s="43"/>
      <c r="I9" s="43"/>
      <c r="J9" s="41" t="s">
        <v>23</v>
      </c>
      <c r="K9" s="41" t="s">
        <v>23</v>
      </c>
      <c r="L9" s="41" t="s">
        <v>23</v>
      </c>
      <c r="M9" s="41" t="s">
        <v>23</v>
      </c>
      <c r="N9" s="2"/>
      <c r="O9" s="2"/>
    </row>
    <row r="10" spans="1:16" ht="15.75">
      <c r="A10" s="3" t="s">
        <v>24</v>
      </c>
      <c r="B10" s="4" t="s">
        <v>25</v>
      </c>
      <c r="C10" s="3" t="s">
        <v>26</v>
      </c>
      <c r="D10" s="3"/>
      <c r="E10" s="5" t="s">
        <v>27</v>
      </c>
      <c r="F10" s="3" t="s">
        <v>28</v>
      </c>
      <c r="G10" s="3" t="s">
        <v>28</v>
      </c>
      <c r="H10" s="6" t="s">
        <v>29</v>
      </c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29</v>
      </c>
      <c r="O10" s="6" t="s">
        <v>29</v>
      </c>
      <c r="P10" s="7"/>
    </row>
    <row r="11" spans="1:16" ht="15.75">
      <c r="A11" s="3" t="s">
        <v>30</v>
      </c>
      <c r="B11" s="4" t="s">
        <v>31</v>
      </c>
      <c r="C11" s="3" t="s">
        <v>26</v>
      </c>
      <c r="D11" s="3"/>
      <c r="E11" s="5" t="s">
        <v>32</v>
      </c>
      <c r="F11" s="3" t="s">
        <v>28</v>
      </c>
      <c r="G11" s="3" t="s">
        <v>28</v>
      </c>
      <c r="H11" s="8">
        <v>0</v>
      </c>
      <c r="I11" s="6">
        <f t="shared" ref="I11:O11" si="0">I13+I18+I26+I27</f>
        <v>8029963.2999999998</v>
      </c>
      <c r="J11" s="6">
        <f t="shared" si="0"/>
        <v>8029963.2999999998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7177691.903205879</v>
      </c>
      <c r="O11" s="8">
        <f t="shared" si="0"/>
        <v>6646071.3949147006</v>
      </c>
      <c r="P11" s="7"/>
    </row>
    <row r="12" spans="1:16" ht="15.75">
      <c r="A12" s="3"/>
      <c r="B12" s="4" t="s">
        <v>33</v>
      </c>
      <c r="C12" s="3"/>
      <c r="D12" s="3"/>
      <c r="E12" s="5"/>
      <c r="F12" s="3"/>
      <c r="G12" s="3"/>
      <c r="H12" s="8"/>
      <c r="I12" s="6"/>
      <c r="J12" s="6"/>
      <c r="K12" s="8"/>
      <c r="L12" s="8"/>
      <c r="M12" s="8"/>
      <c r="N12" s="8"/>
      <c r="O12" s="8"/>
      <c r="P12" s="7"/>
    </row>
    <row r="13" spans="1:16" ht="63">
      <c r="A13" s="3" t="s">
        <v>34</v>
      </c>
      <c r="B13" s="4" t="s">
        <v>35</v>
      </c>
      <c r="C13" s="3" t="s">
        <v>36</v>
      </c>
      <c r="D13" s="3"/>
      <c r="E13" s="5" t="s">
        <v>32</v>
      </c>
      <c r="F13" s="3" t="s">
        <v>37</v>
      </c>
      <c r="G13" s="3" t="s">
        <v>28</v>
      </c>
      <c r="H13" s="8">
        <v>0</v>
      </c>
      <c r="I13" s="6">
        <f>J13+K13+L13+M13</f>
        <v>7708900.2999999998</v>
      </c>
      <c r="J13" s="6">
        <f t="shared" ref="J13:O13" si="1">J15+J17+J16</f>
        <v>7708900.2999999998</v>
      </c>
      <c r="K13" s="8">
        <f t="shared" si="1"/>
        <v>0</v>
      </c>
      <c r="L13" s="8">
        <f t="shared" si="1"/>
        <v>0</v>
      </c>
      <c r="M13" s="8">
        <f t="shared" si="1"/>
        <v>0</v>
      </c>
      <c r="N13" s="8">
        <f t="shared" si="1"/>
        <v>6890705.3741990793</v>
      </c>
      <c r="O13" s="8">
        <f t="shared" si="1"/>
        <v>6380340.7133977003</v>
      </c>
      <c r="P13" s="7"/>
    </row>
    <row r="14" spans="1:16" ht="15.75">
      <c r="A14" s="3"/>
      <c r="B14" s="4" t="s">
        <v>33</v>
      </c>
      <c r="C14" s="3"/>
      <c r="D14" s="3"/>
      <c r="E14" s="5"/>
      <c r="F14" s="3"/>
      <c r="G14" s="3"/>
      <c r="H14" s="8"/>
      <c r="I14" s="8"/>
      <c r="J14" s="8"/>
      <c r="K14" s="8"/>
      <c r="L14" s="8"/>
      <c r="M14" s="8"/>
      <c r="N14" s="8"/>
      <c r="O14" s="8"/>
      <c r="P14" s="7"/>
    </row>
    <row r="15" spans="1:16" s="15" customFormat="1" ht="87.75" customHeight="1">
      <c r="A15" s="9" t="s">
        <v>38</v>
      </c>
      <c r="B15" s="10" t="s">
        <v>39</v>
      </c>
      <c r="C15" s="9" t="s">
        <v>36</v>
      </c>
      <c r="D15" s="9" t="s">
        <v>40</v>
      </c>
      <c r="E15" s="11" t="s">
        <v>32</v>
      </c>
      <c r="F15" s="9" t="s">
        <v>37</v>
      </c>
      <c r="G15" s="9" t="s">
        <v>28</v>
      </c>
      <c r="H15" s="12">
        <v>0</v>
      </c>
      <c r="I15" s="13">
        <f>I35+I39+I41+I46+I48+I49+I63+I80+I68+I42+I75</f>
        <v>4799265</v>
      </c>
      <c r="J15" s="13">
        <f>J35+J39+J41+J46+J48+J49+J63+J80+J68+J42+J75</f>
        <v>4799265</v>
      </c>
      <c r="K15" s="13">
        <f t="shared" ref="K15:M15" si="2">K35+K39+K41+K46+K48+K49+K63+K76+K80+K68+K42</f>
        <v>0</v>
      </c>
      <c r="L15" s="13">
        <f t="shared" si="2"/>
        <v>0</v>
      </c>
      <c r="M15" s="13">
        <f t="shared" si="2"/>
        <v>0</v>
      </c>
      <c r="N15" s="12">
        <f>I15*0.8938636</f>
        <v>4289888.2902539996</v>
      </c>
      <c r="O15" s="12">
        <f>I15*0.827659</f>
        <v>3972154.8706350001</v>
      </c>
      <c r="P15" s="14"/>
    </row>
    <row r="16" spans="1:16" s="22" customFormat="1" ht="87" customHeight="1">
      <c r="A16" s="16" t="s">
        <v>41</v>
      </c>
      <c r="B16" s="17" t="s">
        <v>42</v>
      </c>
      <c r="C16" s="16" t="s">
        <v>36</v>
      </c>
      <c r="D16" s="16" t="s">
        <v>75</v>
      </c>
      <c r="E16" s="18" t="s">
        <v>32</v>
      </c>
      <c r="F16" s="16" t="s">
        <v>37</v>
      </c>
      <c r="G16" s="16" t="s">
        <v>28</v>
      </c>
      <c r="H16" s="19">
        <v>0</v>
      </c>
      <c r="I16" s="20">
        <f>I36+I43+I47+I50+I58+I64+I77+I40+I81+I69</f>
        <v>2859082</v>
      </c>
      <c r="J16" s="20">
        <f>J36+J43+J47+J50+J58+J64+J77+J40+J81+J69</f>
        <v>2859082</v>
      </c>
      <c r="K16" s="20">
        <f>K36+K43+K47+K50+K58+K64+K77+K40+K81+K75</f>
        <v>0</v>
      </c>
      <c r="L16" s="20">
        <f>L36+L43+L47+L50+L58+L64+L77+L40+L81+L75</f>
        <v>0</v>
      </c>
      <c r="M16" s="20">
        <f>M36+M43+M47+M50+M58+M64+M77+M40+M81+M75</f>
        <v>0</v>
      </c>
      <c r="N16" s="19">
        <f>I16*0.8938636</f>
        <v>2555629.3292152002</v>
      </c>
      <c r="O16" s="19">
        <f>I16*0.827659</f>
        <v>2366344.9490380003</v>
      </c>
      <c r="P16" s="21"/>
    </row>
    <row r="17" spans="1:16" ht="126">
      <c r="A17" s="3" t="s">
        <v>43</v>
      </c>
      <c r="B17" s="4" t="s">
        <v>189</v>
      </c>
      <c r="C17" s="3" t="s">
        <v>36</v>
      </c>
      <c r="D17" s="3" t="s">
        <v>188</v>
      </c>
      <c r="E17" s="5" t="s">
        <v>32</v>
      </c>
      <c r="F17" s="3" t="s">
        <v>37</v>
      </c>
      <c r="G17" s="3" t="s">
        <v>28</v>
      </c>
      <c r="H17" s="8">
        <v>0</v>
      </c>
      <c r="I17" s="6">
        <f>J17+K17+L17+M17</f>
        <v>50553.3</v>
      </c>
      <c r="J17" s="6">
        <v>50553.3</v>
      </c>
      <c r="K17" s="6">
        <v>0</v>
      </c>
      <c r="L17" s="6">
        <v>0</v>
      </c>
      <c r="M17" s="6">
        <v>0</v>
      </c>
      <c r="N17" s="8">
        <f>I17*0.8938636</f>
        <v>45187.754729879998</v>
      </c>
      <c r="O17" s="8">
        <f>I17*0.827659</f>
        <v>41840.893724700007</v>
      </c>
      <c r="P17" s="7"/>
    </row>
    <row r="18" spans="1:16" ht="15.75">
      <c r="A18" s="3" t="s">
        <v>44</v>
      </c>
      <c r="B18" s="4" t="s">
        <v>45</v>
      </c>
      <c r="C18" s="3" t="s">
        <v>46</v>
      </c>
      <c r="D18" s="3"/>
      <c r="E18" s="5" t="s">
        <v>32</v>
      </c>
      <c r="F18" s="3" t="s">
        <v>37</v>
      </c>
      <c r="G18" s="3" t="s">
        <v>28</v>
      </c>
      <c r="H18" s="6">
        <v>0</v>
      </c>
      <c r="I18" s="6">
        <f>I20+I21+I22+I23+I24+I25</f>
        <v>217063</v>
      </c>
      <c r="J18" s="6">
        <f>J20+J21+J22+J23+J24+J25</f>
        <v>217063</v>
      </c>
      <c r="K18" s="6">
        <f t="shared" ref="K18:M18" si="3">K20+K21+K22+K23</f>
        <v>0</v>
      </c>
      <c r="L18" s="6">
        <f t="shared" si="3"/>
        <v>0</v>
      </c>
      <c r="M18" s="6">
        <f t="shared" si="3"/>
        <v>0</v>
      </c>
      <c r="N18" s="6">
        <f>SUM(N20:N23)</f>
        <v>194024.7146068</v>
      </c>
      <c r="O18" s="6">
        <f>SUM(O20:O23)</f>
        <v>179654.145517</v>
      </c>
      <c r="P18" s="7"/>
    </row>
    <row r="19" spans="1:16" ht="15.75">
      <c r="A19" s="3"/>
      <c r="B19" s="4" t="s">
        <v>33</v>
      </c>
      <c r="C19" s="3"/>
      <c r="D19" s="3"/>
      <c r="E19" s="5"/>
      <c r="F19" s="3"/>
      <c r="G19" s="3"/>
      <c r="H19" s="6"/>
      <c r="I19" s="6"/>
      <c r="J19" s="6"/>
      <c r="K19" s="6"/>
      <c r="L19" s="6"/>
      <c r="M19" s="6"/>
      <c r="N19" s="6"/>
      <c r="O19" s="6"/>
      <c r="P19" s="7"/>
    </row>
    <row r="20" spans="1:16" s="15" customFormat="1" ht="68.25" customHeight="1">
      <c r="A20" s="9" t="s">
        <v>47</v>
      </c>
      <c r="B20" s="35" t="s">
        <v>196</v>
      </c>
      <c r="C20" s="9" t="s">
        <v>46</v>
      </c>
      <c r="D20" s="9" t="s">
        <v>75</v>
      </c>
      <c r="E20" s="11" t="s">
        <v>182</v>
      </c>
      <c r="F20" s="9" t="s">
        <v>37</v>
      </c>
      <c r="G20" s="9" t="s">
        <v>28</v>
      </c>
      <c r="H20" s="13">
        <v>0</v>
      </c>
      <c r="I20" s="13">
        <f>J20+K20+L20+M20</f>
        <v>64600</v>
      </c>
      <c r="J20" s="13">
        <f>64600</f>
        <v>64600</v>
      </c>
      <c r="K20" s="13">
        <v>0</v>
      </c>
      <c r="L20" s="13">
        <v>0</v>
      </c>
      <c r="M20" s="13">
        <v>0</v>
      </c>
      <c r="N20" s="12">
        <f>I20*0.8938636</f>
        <v>57743.588559999997</v>
      </c>
      <c r="O20" s="12">
        <f>I20*0.827659</f>
        <v>53466.771400000005</v>
      </c>
      <c r="P20" s="14"/>
    </row>
    <row r="21" spans="1:16" s="15" customFormat="1" ht="75" customHeight="1">
      <c r="A21" s="9" t="s">
        <v>48</v>
      </c>
      <c r="B21" s="10" t="s">
        <v>197</v>
      </c>
      <c r="C21" s="9" t="s">
        <v>46</v>
      </c>
      <c r="D21" s="9" t="s">
        <v>49</v>
      </c>
      <c r="E21" s="11" t="s">
        <v>183</v>
      </c>
      <c r="F21" s="9" t="s">
        <v>37</v>
      </c>
      <c r="G21" s="9" t="s">
        <v>28</v>
      </c>
      <c r="H21" s="13">
        <v>0</v>
      </c>
      <c r="I21" s="13">
        <f t="shared" ref="I21:I27" si="4">J21+K21+L21+M21</f>
        <v>90440</v>
      </c>
      <c r="J21" s="13">
        <f>103360-12920</f>
        <v>90440</v>
      </c>
      <c r="K21" s="13">
        <v>0</v>
      </c>
      <c r="L21" s="13">
        <v>0</v>
      </c>
      <c r="M21" s="13">
        <v>0</v>
      </c>
      <c r="N21" s="12">
        <f>I21*0.8938636</f>
        <v>80841.023983999999</v>
      </c>
      <c r="O21" s="12">
        <f>I21*0.827659</f>
        <v>74853.479959999997</v>
      </c>
      <c r="P21" s="14"/>
    </row>
    <row r="22" spans="1:16" ht="42" customHeight="1">
      <c r="A22" s="3" t="s">
        <v>50</v>
      </c>
      <c r="B22" s="4" t="s">
        <v>186</v>
      </c>
      <c r="C22" s="3" t="s">
        <v>46</v>
      </c>
      <c r="D22" s="25" t="s">
        <v>75</v>
      </c>
      <c r="E22" s="5" t="s">
        <v>187</v>
      </c>
      <c r="F22" s="3" t="s">
        <v>37</v>
      </c>
      <c r="G22" s="3" t="s">
        <v>28</v>
      </c>
      <c r="H22" s="6">
        <v>0</v>
      </c>
      <c r="I22" s="6">
        <f t="shared" si="4"/>
        <v>0</v>
      </c>
      <c r="J22" s="6"/>
      <c r="K22" s="6">
        <v>0</v>
      </c>
      <c r="L22" s="6"/>
      <c r="M22" s="6">
        <v>0</v>
      </c>
      <c r="N22" s="6">
        <v>0</v>
      </c>
      <c r="O22" s="6">
        <v>0</v>
      </c>
      <c r="P22" s="7"/>
    </row>
    <row r="23" spans="1:16" s="15" customFormat="1" ht="48.75" customHeight="1">
      <c r="A23" s="9" t="s">
        <v>51</v>
      </c>
      <c r="B23" s="36" t="s">
        <v>198</v>
      </c>
      <c r="C23" s="24" t="s">
        <v>46</v>
      </c>
      <c r="D23" s="24" t="s">
        <v>75</v>
      </c>
      <c r="E23" s="37" t="s">
        <v>184</v>
      </c>
      <c r="F23" s="24" t="s">
        <v>37</v>
      </c>
      <c r="G23" s="9" t="s">
        <v>28</v>
      </c>
      <c r="H23" s="13">
        <v>0</v>
      </c>
      <c r="I23" s="13">
        <f>J23+K23+L23+M23</f>
        <v>62023</v>
      </c>
      <c r="J23" s="13">
        <v>62023</v>
      </c>
      <c r="K23" s="13">
        <v>0</v>
      </c>
      <c r="L23" s="13">
        <v>0</v>
      </c>
      <c r="M23" s="13">
        <v>0</v>
      </c>
      <c r="N23" s="12">
        <f>I23*0.8938636</f>
        <v>55440.102062799997</v>
      </c>
      <c r="O23" s="12">
        <f>I23*0.827659</f>
        <v>51333.894157000002</v>
      </c>
      <c r="P23" s="14"/>
    </row>
    <row r="24" spans="1:16" s="15" customFormat="1" ht="118.5" customHeight="1">
      <c r="A24" s="9" t="s">
        <v>52</v>
      </c>
      <c r="B24" s="10" t="s">
        <v>191</v>
      </c>
      <c r="C24" s="9" t="s">
        <v>46</v>
      </c>
      <c r="D24" s="9" t="s">
        <v>75</v>
      </c>
      <c r="E24" s="11" t="s">
        <v>192</v>
      </c>
      <c r="F24" s="9" t="s">
        <v>37</v>
      </c>
      <c r="G24" s="9" t="s">
        <v>28</v>
      </c>
      <c r="H24" s="13">
        <v>0</v>
      </c>
      <c r="I24" s="13">
        <f t="shared" ref="I24:I25" si="5">J24+K24+L24+M24</f>
        <v>0</v>
      </c>
      <c r="J24" s="13">
        <f>477700-200000-249200-28500</f>
        <v>0</v>
      </c>
      <c r="K24" s="13">
        <v>0</v>
      </c>
      <c r="L24" s="13">
        <v>0</v>
      </c>
      <c r="M24" s="13">
        <v>0</v>
      </c>
      <c r="N24" s="12">
        <f>I24*0.8938636</f>
        <v>0</v>
      </c>
      <c r="O24" s="12">
        <f>I24*0.827659</f>
        <v>0</v>
      </c>
      <c r="P24" s="14"/>
    </row>
    <row r="25" spans="1:16" s="15" customFormat="1" ht="101.25" customHeight="1">
      <c r="A25" s="9" t="s">
        <v>53</v>
      </c>
      <c r="B25" s="10" t="s">
        <v>193</v>
      </c>
      <c r="C25" s="9" t="s">
        <v>46</v>
      </c>
      <c r="D25" s="9" t="s">
        <v>194</v>
      </c>
      <c r="E25" s="11" t="s">
        <v>195</v>
      </c>
      <c r="F25" s="9" t="s">
        <v>37</v>
      </c>
      <c r="G25" s="9" t="s">
        <v>28</v>
      </c>
      <c r="H25" s="13">
        <v>0</v>
      </c>
      <c r="I25" s="13">
        <f t="shared" si="5"/>
        <v>0</v>
      </c>
      <c r="J25" s="13">
        <f>955600-6500-949100</f>
        <v>0</v>
      </c>
      <c r="K25" s="13">
        <v>0</v>
      </c>
      <c r="L25" s="13">
        <v>0</v>
      </c>
      <c r="M25" s="13">
        <v>0</v>
      </c>
      <c r="N25" s="12">
        <f>I25*0.8938636</f>
        <v>0</v>
      </c>
      <c r="O25" s="12">
        <f>I25*0.827659</f>
        <v>0</v>
      </c>
      <c r="P25" s="14"/>
    </row>
    <row r="26" spans="1:16" ht="31.5">
      <c r="A26" s="3" t="s">
        <v>54</v>
      </c>
      <c r="B26" s="4" t="s">
        <v>55</v>
      </c>
      <c r="C26" s="3" t="s">
        <v>28</v>
      </c>
      <c r="D26" s="3" t="s">
        <v>28</v>
      </c>
      <c r="E26" s="3" t="s">
        <v>28</v>
      </c>
      <c r="F26" s="3" t="s">
        <v>28</v>
      </c>
      <c r="G26" s="3" t="s">
        <v>28</v>
      </c>
      <c r="H26" s="6">
        <f t="shared" ref="H26" si="6">I26+N26+O26</f>
        <v>0</v>
      </c>
      <c r="I26" s="6">
        <f t="shared" si="4"/>
        <v>0</v>
      </c>
      <c r="J26" s="6">
        <v>0</v>
      </c>
      <c r="K26" s="6">
        <v>0</v>
      </c>
      <c r="L26" s="6">
        <v>0</v>
      </c>
      <c r="M26" s="6">
        <v>0</v>
      </c>
      <c r="N26" s="6">
        <f t="shared" ref="N26:N27" si="7">I26*0.8938636</f>
        <v>0</v>
      </c>
      <c r="O26" s="6">
        <f t="shared" ref="O26:O27" si="8">I26*0.827659</f>
        <v>0</v>
      </c>
      <c r="P26" s="7"/>
    </row>
    <row r="27" spans="1:16" ht="202.5" customHeight="1">
      <c r="A27" s="3" t="s">
        <v>56</v>
      </c>
      <c r="B27" s="4" t="s">
        <v>57</v>
      </c>
      <c r="C27" s="3" t="s">
        <v>161</v>
      </c>
      <c r="D27" s="3" t="s">
        <v>185</v>
      </c>
      <c r="E27" s="5" t="s">
        <v>27</v>
      </c>
      <c r="F27" s="3" t="s">
        <v>37</v>
      </c>
      <c r="G27" s="3" t="s">
        <v>28</v>
      </c>
      <c r="H27" s="6">
        <v>0</v>
      </c>
      <c r="I27" s="6">
        <f t="shared" si="4"/>
        <v>104000</v>
      </c>
      <c r="J27" s="6">
        <v>104000</v>
      </c>
      <c r="K27" s="6">
        <v>0</v>
      </c>
      <c r="L27" s="6">
        <v>0</v>
      </c>
      <c r="M27" s="6">
        <v>0</v>
      </c>
      <c r="N27" s="6">
        <f t="shared" si="7"/>
        <v>92961.814400000003</v>
      </c>
      <c r="O27" s="6">
        <f t="shared" si="8"/>
        <v>86076.536000000007</v>
      </c>
      <c r="P27" s="7"/>
    </row>
    <row r="28" spans="1:16" ht="15.75">
      <c r="A28" s="3" t="s">
        <v>58</v>
      </c>
      <c r="B28" s="4" t="s">
        <v>59</v>
      </c>
      <c r="C28" s="3" t="s">
        <v>28</v>
      </c>
      <c r="D28" s="3" t="s">
        <v>28</v>
      </c>
      <c r="E28" s="3" t="s">
        <v>28</v>
      </c>
      <c r="F28" s="3" t="s">
        <v>28</v>
      </c>
      <c r="G28" s="3" t="s">
        <v>28</v>
      </c>
      <c r="H28" s="6">
        <v>0</v>
      </c>
      <c r="I28" s="6">
        <f>(I30+I89+I82+I90)</f>
        <v>8029963.2999999998</v>
      </c>
      <c r="J28" s="6">
        <f>J30+J89+J82+J90</f>
        <v>8029963.2999999998</v>
      </c>
      <c r="K28" s="6">
        <f>(K30+K89+K82+K90)</f>
        <v>0</v>
      </c>
      <c r="L28" s="6">
        <f>(L30+L89+L82+L90)</f>
        <v>0</v>
      </c>
      <c r="M28" s="6">
        <f>(M30+M89+M82+M90)</f>
        <v>0</v>
      </c>
      <c r="N28" s="26">
        <f>I28*0.8938636</f>
        <v>7177691.90320588</v>
      </c>
      <c r="O28" s="26">
        <f>I28*0.827659</f>
        <v>6646071.3949146997</v>
      </c>
      <c r="P28" s="7"/>
    </row>
    <row r="29" spans="1:16" ht="15.75">
      <c r="A29" s="3"/>
      <c r="B29" s="4" t="s">
        <v>8</v>
      </c>
      <c r="C29" s="3"/>
      <c r="D29" s="3"/>
      <c r="E29" s="5"/>
      <c r="F29" s="3"/>
      <c r="G29" s="3"/>
      <c r="H29" s="6"/>
      <c r="I29" s="6"/>
      <c r="J29" s="6"/>
      <c r="K29" s="6"/>
      <c r="L29" s="6"/>
      <c r="M29" s="6"/>
      <c r="N29" s="26"/>
      <c r="O29" s="26"/>
      <c r="P29" s="7"/>
    </row>
    <row r="30" spans="1:16" ht="47.25">
      <c r="A30" s="3" t="s">
        <v>60</v>
      </c>
      <c r="B30" s="4" t="s">
        <v>61</v>
      </c>
      <c r="C30" s="3" t="s">
        <v>28</v>
      </c>
      <c r="D30" s="3" t="s">
        <v>28</v>
      </c>
      <c r="E30" s="3" t="s">
        <v>28</v>
      </c>
      <c r="F30" s="3" t="s">
        <v>28</v>
      </c>
      <c r="G30" s="3" t="s">
        <v>28</v>
      </c>
      <c r="H30" s="6">
        <v>0</v>
      </c>
      <c r="I30" s="6">
        <f>J30+K30+L30+M30</f>
        <v>7708900.2999999998</v>
      </c>
      <c r="J30" s="6">
        <f>J31+J48+J49+J50+J56+J61+J66+J72+J78</f>
        <v>7708900.2999999998</v>
      </c>
      <c r="K30" s="6">
        <f>K31+K48+K49+K50+K56+K61+K66+K72+K78</f>
        <v>0</v>
      </c>
      <c r="L30" s="6">
        <f>L31+L48+L49+L50+L56+L61+L66+L72+L78</f>
        <v>0</v>
      </c>
      <c r="M30" s="6">
        <f>(M31+M48+M49+M50+M56+M61+M66+M72+M78)</f>
        <v>0</v>
      </c>
      <c r="N30" s="26">
        <f>I30*0.8938636</f>
        <v>6890705.3741990793</v>
      </c>
      <c r="O30" s="26">
        <f>I30*0.827659</f>
        <v>6380340.7133977003</v>
      </c>
      <c r="P30" s="7"/>
    </row>
    <row r="31" spans="1:16" ht="15.75">
      <c r="A31" s="3" t="s">
        <v>62</v>
      </c>
      <c r="B31" s="4" t="s">
        <v>63</v>
      </c>
      <c r="C31" s="3" t="s">
        <v>28</v>
      </c>
      <c r="D31" s="3" t="s">
        <v>28</v>
      </c>
      <c r="E31" s="3" t="s">
        <v>28</v>
      </c>
      <c r="F31" s="3" t="s">
        <v>64</v>
      </c>
      <c r="G31" s="3" t="s">
        <v>28</v>
      </c>
      <c r="H31" s="6">
        <v>0</v>
      </c>
      <c r="I31" s="6">
        <f>J31+K31+L31+M31</f>
        <v>6025526.3399999999</v>
      </c>
      <c r="J31" s="6">
        <f t="shared" ref="J31:M31" si="9">J33+J37+J44</f>
        <v>6025526.3399999999</v>
      </c>
      <c r="K31" s="6">
        <f t="shared" si="9"/>
        <v>0</v>
      </c>
      <c r="L31" s="6">
        <f t="shared" si="9"/>
        <v>0</v>
      </c>
      <c r="M31" s="6">
        <f t="shared" si="9"/>
        <v>0</v>
      </c>
      <c r="N31" s="26">
        <f>I31*0.8938636</f>
        <v>5385998.6661672238</v>
      </c>
      <c r="O31" s="26">
        <f>I31*0.827659</f>
        <v>4987081.1050380599</v>
      </c>
      <c r="P31" s="7"/>
    </row>
    <row r="32" spans="1:16" ht="15.75">
      <c r="A32" s="3"/>
      <c r="B32" s="4" t="s">
        <v>8</v>
      </c>
      <c r="C32" s="3" t="s">
        <v>28</v>
      </c>
      <c r="D32" s="3" t="s">
        <v>28</v>
      </c>
      <c r="E32" s="3" t="s">
        <v>28</v>
      </c>
      <c r="F32" s="3"/>
      <c r="G32" s="3"/>
      <c r="H32" s="6"/>
      <c r="I32" s="6"/>
      <c r="J32" s="6"/>
      <c r="K32" s="6"/>
      <c r="L32" s="6"/>
      <c r="M32" s="6"/>
      <c r="N32" s="6"/>
      <c r="O32" s="6"/>
      <c r="P32" s="7"/>
    </row>
    <row r="33" spans="1:16" ht="15.75">
      <c r="A33" s="3"/>
      <c r="B33" s="4" t="s">
        <v>65</v>
      </c>
      <c r="C33" s="3" t="s">
        <v>36</v>
      </c>
      <c r="D33" s="3" t="s">
        <v>28</v>
      </c>
      <c r="E33" s="3" t="s">
        <v>28</v>
      </c>
      <c r="F33" s="3" t="s">
        <v>66</v>
      </c>
      <c r="G33" s="3" t="s">
        <v>28</v>
      </c>
      <c r="H33" s="6">
        <v>0</v>
      </c>
      <c r="I33" s="6">
        <f>J33+K33+L33+M33</f>
        <v>4745395.34</v>
      </c>
      <c r="J33" s="6">
        <f>J35+J36</f>
        <v>4745395.34</v>
      </c>
      <c r="K33" s="6">
        <f>K35+K36</f>
        <v>0</v>
      </c>
      <c r="L33" s="6">
        <f>L35+L36</f>
        <v>0</v>
      </c>
      <c r="M33" s="6">
        <f>M35+M36</f>
        <v>0</v>
      </c>
      <c r="N33" s="6">
        <f>I33*0.8938636</f>
        <v>4241736.1620356236</v>
      </c>
      <c r="O33" s="6">
        <f>I33*0.827659</f>
        <v>3927569.16170906</v>
      </c>
      <c r="P33" s="7"/>
    </row>
    <row r="34" spans="1:16" ht="15.75">
      <c r="A34" s="3"/>
      <c r="B34" s="4" t="s">
        <v>8</v>
      </c>
      <c r="C34" s="3"/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7"/>
    </row>
    <row r="35" spans="1:16" s="15" customFormat="1" ht="31.5">
      <c r="A35" s="9"/>
      <c r="B35" s="10" t="s">
        <v>67</v>
      </c>
      <c r="C35" s="9" t="s">
        <v>162</v>
      </c>
      <c r="D35" s="9" t="s">
        <v>40</v>
      </c>
      <c r="E35" s="9" t="s">
        <v>28</v>
      </c>
      <c r="F35" s="9" t="s">
        <v>66</v>
      </c>
      <c r="G35" s="9" t="s">
        <v>28</v>
      </c>
      <c r="H35" s="13">
        <v>0</v>
      </c>
      <c r="I35" s="13">
        <f>J35+K35+L35+M35</f>
        <v>3603395.34</v>
      </c>
      <c r="J35" s="13">
        <f>3688000-25198-26444+4175.34-37138</f>
        <v>3603395.34</v>
      </c>
      <c r="K35" s="13">
        <v>0</v>
      </c>
      <c r="L35" s="13">
        <v>0</v>
      </c>
      <c r="M35" s="13">
        <v>0</v>
      </c>
      <c r="N35" s="13">
        <f>I35*0.8938636</f>
        <v>3220943.9308356238</v>
      </c>
      <c r="O35" s="13">
        <f>I35*0.827659</f>
        <v>2982382.5837090602</v>
      </c>
      <c r="P35" s="14"/>
    </row>
    <row r="36" spans="1:16" s="22" customFormat="1" ht="31.5">
      <c r="A36" s="16"/>
      <c r="B36" s="17" t="s">
        <v>68</v>
      </c>
      <c r="C36" s="16" t="s">
        <v>163</v>
      </c>
      <c r="D36" s="16" t="s">
        <v>75</v>
      </c>
      <c r="E36" s="16" t="s">
        <v>28</v>
      </c>
      <c r="F36" s="16" t="s">
        <v>66</v>
      </c>
      <c r="G36" s="16" t="s">
        <v>28</v>
      </c>
      <c r="H36" s="20">
        <v>0</v>
      </c>
      <c r="I36" s="20">
        <f>J36+K36+L36+M36</f>
        <v>1142000</v>
      </c>
      <c r="J36" s="20">
        <v>1142000</v>
      </c>
      <c r="K36" s="20">
        <v>0</v>
      </c>
      <c r="L36" s="20">
        <v>0</v>
      </c>
      <c r="M36" s="20">
        <v>0</v>
      </c>
      <c r="N36" s="20">
        <f>I36*0.8938636</f>
        <v>1020792.2311999999</v>
      </c>
      <c r="O36" s="20">
        <f>I36*0.827659</f>
        <v>945186.5780000001</v>
      </c>
      <c r="P36" s="21"/>
    </row>
    <row r="37" spans="1:16" ht="15.75">
      <c r="A37" s="3"/>
      <c r="B37" s="4" t="s">
        <v>69</v>
      </c>
      <c r="C37" s="3" t="s">
        <v>36</v>
      </c>
      <c r="D37" s="3" t="s">
        <v>28</v>
      </c>
      <c r="E37" s="3" t="s">
        <v>28</v>
      </c>
      <c r="F37" s="3" t="s">
        <v>70</v>
      </c>
      <c r="G37" s="3" t="s">
        <v>28</v>
      </c>
      <c r="H37" s="6">
        <v>0</v>
      </c>
      <c r="I37" s="6">
        <f>J37+K37+L37+M37</f>
        <v>7300</v>
      </c>
      <c r="J37" s="6">
        <f>J39+J41+J40+J42+J43</f>
        <v>7300</v>
      </c>
      <c r="K37" s="6">
        <f t="shared" ref="K37:M37" si="10">K39+K41+K40+K42+K43</f>
        <v>0</v>
      </c>
      <c r="L37" s="6">
        <f t="shared" si="10"/>
        <v>0</v>
      </c>
      <c r="M37" s="6">
        <f t="shared" si="10"/>
        <v>0</v>
      </c>
      <c r="N37" s="6">
        <f>I37*0.8938636</f>
        <v>6525.2042799999999</v>
      </c>
      <c r="O37" s="6">
        <f>I37*0.827659</f>
        <v>6041.9107000000004</v>
      </c>
      <c r="P37" s="7"/>
    </row>
    <row r="38" spans="1:16" ht="15.75">
      <c r="A38" s="3"/>
      <c r="B38" s="4" t="s">
        <v>71</v>
      </c>
      <c r="C38" s="3"/>
      <c r="D38" s="3"/>
      <c r="E38" s="5"/>
      <c r="F38" s="3"/>
      <c r="G38" s="3"/>
      <c r="H38" s="6"/>
      <c r="I38" s="6"/>
      <c r="J38" s="6"/>
      <c r="K38" s="6"/>
      <c r="L38" s="6"/>
      <c r="M38" s="6"/>
      <c r="N38" s="6"/>
      <c r="O38" s="6"/>
      <c r="P38" s="7"/>
    </row>
    <row r="39" spans="1:16" s="15" customFormat="1" ht="47.25" hidden="1">
      <c r="A39" s="9"/>
      <c r="B39" s="10" t="s">
        <v>72</v>
      </c>
      <c r="C39" s="9" t="s">
        <v>164</v>
      </c>
      <c r="D39" s="9" t="s">
        <v>40</v>
      </c>
      <c r="E39" s="11" t="s">
        <v>27</v>
      </c>
      <c r="F39" s="9" t="s">
        <v>70</v>
      </c>
      <c r="G39" s="9" t="s">
        <v>28</v>
      </c>
      <c r="H39" s="13">
        <v>0</v>
      </c>
      <c r="I39" s="13">
        <f t="shared" ref="I39:I50" si="11">J39+K39+L39+M39</f>
        <v>0</v>
      </c>
      <c r="J39" s="13">
        <v>0</v>
      </c>
      <c r="K39" s="13">
        <v>0</v>
      </c>
      <c r="L39" s="13">
        <v>0</v>
      </c>
      <c r="M39" s="13">
        <f>4500-4500</f>
        <v>0</v>
      </c>
      <c r="N39" s="13">
        <f t="shared" ref="N39:N44" si="12">I39*0.8938636</f>
        <v>0</v>
      </c>
      <c r="O39" s="13">
        <f t="shared" ref="O39:O44" si="13">I39*0.827659</f>
        <v>0</v>
      </c>
      <c r="P39" s="14"/>
    </row>
    <row r="40" spans="1:16" s="22" customFormat="1" ht="47.25" hidden="1">
      <c r="A40" s="16"/>
      <c r="B40" s="17" t="s">
        <v>74</v>
      </c>
      <c r="C40" s="9" t="s">
        <v>165</v>
      </c>
      <c r="D40" s="9" t="s">
        <v>75</v>
      </c>
      <c r="E40" s="11" t="s">
        <v>27</v>
      </c>
      <c r="F40" s="16" t="s">
        <v>70</v>
      </c>
      <c r="G40" s="16" t="s">
        <v>28</v>
      </c>
      <c r="H40" s="20">
        <v>0</v>
      </c>
      <c r="I40" s="20">
        <f t="shared" si="11"/>
        <v>0</v>
      </c>
      <c r="J40" s="20">
        <v>0</v>
      </c>
      <c r="K40" s="20">
        <f>300-300</f>
        <v>0</v>
      </c>
      <c r="L40" s="20">
        <f>300-300</f>
        <v>0</v>
      </c>
      <c r="M40" s="20">
        <f>300-300</f>
        <v>0</v>
      </c>
      <c r="N40" s="20">
        <f t="shared" si="12"/>
        <v>0</v>
      </c>
      <c r="O40" s="20">
        <f t="shared" si="13"/>
        <v>0</v>
      </c>
      <c r="P40" s="21"/>
    </row>
    <row r="41" spans="1:16" s="15" customFormat="1" ht="31.5">
      <c r="A41" s="9"/>
      <c r="B41" s="10" t="s">
        <v>76</v>
      </c>
      <c r="C41" s="9" t="s">
        <v>164</v>
      </c>
      <c r="D41" s="9" t="s">
        <v>40</v>
      </c>
      <c r="E41" s="11" t="s">
        <v>27</v>
      </c>
      <c r="F41" s="9" t="s">
        <v>70</v>
      </c>
      <c r="G41" s="9" t="s">
        <v>28</v>
      </c>
      <c r="H41" s="13">
        <v>0</v>
      </c>
      <c r="I41" s="13">
        <f>J41+K41+L41+M41</f>
        <v>6950</v>
      </c>
      <c r="J41" s="13">
        <f>18200-11250</f>
        <v>6950</v>
      </c>
      <c r="K41" s="13">
        <v>0</v>
      </c>
      <c r="L41" s="13">
        <v>0</v>
      </c>
      <c r="M41" s="13">
        <v>0</v>
      </c>
      <c r="N41" s="13">
        <f t="shared" si="12"/>
        <v>6212.3520200000003</v>
      </c>
      <c r="O41" s="13">
        <f t="shared" si="13"/>
        <v>5752.2300500000001</v>
      </c>
      <c r="P41" s="14"/>
    </row>
    <row r="42" spans="1:16" s="15" customFormat="1" ht="31.5" hidden="1">
      <c r="A42" s="9"/>
      <c r="B42" s="23" t="s">
        <v>77</v>
      </c>
      <c r="C42" s="9" t="s">
        <v>164</v>
      </c>
      <c r="D42" s="9" t="s">
        <v>40</v>
      </c>
      <c r="E42" s="11" t="s">
        <v>27</v>
      </c>
      <c r="F42" s="24" t="s">
        <v>70</v>
      </c>
      <c r="G42" s="24" t="s">
        <v>28</v>
      </c>
      <c r="H42" s="13">
        <v>0</v>
      </c>
      <c r="I42" s="13">
        <f>J42+K42+L42+M42</f>
        <v>0</v>
      </c>
      <c r="J42" s="13">
        <v>0</v>
      </c>
      <c r="K42" s="13">
        <v>0</v>
      </c>
      <c r="L42" s="13">
        <v>0</v>
      </c>
      <c r="M42" s="13">
        <v>0</v>
      </c>
      <c r="N42" s="13">
        <f t="shared" si="12"/>
        <v>0</v>
      </c>
      <c r="O42" s="13">
        <f t="shared" si="13"/>
        <v>0</v>
      </c>
      <c r="P42" s="14"/>
    </row>
    <row r="43" spans="1:16" s="22" customFormat="1" ht="31.5">
      <c r="A43" s="16"/>
      <c r="B43" s="17" t="s">
        <v>79</v>
      </c>
      <c r="C43" s="3" t="s">
        <v>165</v>
      </c>
      <c r="D43" s="3" t="s">
        <v>75</v>
      </c>
      <c r="E43" s="5" t="s">
        <v>27</v>
      </c>
      <c r="F43" s="16" t="s">
        <v>70</v>
      </c>
      <c r="G43" s="16" t="s">
        <v>78</v>
      </c>
      <c r="H43" s="20">
        <v>0</v>
      </c>
      <c r="I43" s="20">
        <f>J43+K43+L43+M43</f>
        <v>350</v>
      </c>
      <c r="J43" s="20">
        <f>150+200</f>
        <v>350</v>
      </c>
      <c r="K43" s="20">
        <v>0</v>
      </c>
      <c r="L43" s="20">
        <v>0</v>
      </c>
      <c r="M43" s="20">
        <v>0</v>
      </c>
      <c r="N43" s="20">
        <f t="shared" si="12"/>
        <v>312.85226</v>
      </c>
      <c r="O43" s="20">
        <f t="shared" si="13"/>
        <v>289.68065000000001</v>
      </c>
      <c r="P43" s="21"/>
    </row>
    <row r="44" spans="1:16" ht="31.5">
      <c r="A44" s="3"/>
      <c r="B44" s="4" t="s">
        <v>80</v>
      </c>
      <c r="C44" s="3" t="s">
        <v>36</v>
      </c>
      <c r="D44" s="3"/>
      <c r="E44" s="5" t="s">
        <v>27</v>
      </c>
      <c r="F44" s="3" t="s">
        <v>81</v>
      </c>
      <c r="G44" s="3" t="s">
        <v>28</v>
      </c>
      <c r="H44" s="6">
        <v>0</v>
      </c>
      <c r="I44" s="6">
        <f>J44+K44+L44+M44</f>
        <v>1272831</v>
      </c>
      <c r="J44" s="6">
        <f>J46+J47</f>
        <v>1272831</v>
      </c>
      <c r="K44" s="6">
        <f>K46+K47</f>
        <v>0</v>
      </c>
      <c r="L44" s="6">
        <f>L46+L47</f>
        <v>0</v>
      </c>
      <c r="M44" s="6">
        <f>M46+M47</f>
        <v>0</v>
      </c>
      <c r="N44" s="6">
        <f t="shared" si="12"/>
        <v>1137737.2998516001</v>
      </c>
      <c r="O44" s="6">
        <f t="shared" si="13"/>
        <v>1053470.032629</v>
      </c>
      <c r="P44" s="7"/>
    </row>
    <row r="45" spans="1:16" ht="15.75">
      <c r="A45" s="3"/>
      <c r="B45" s="4" t="s">
        <v>71</v>
      </c>
      <c r="C45" s="3"/>
      <c r="D45" s="3"/>
      <c r="E45" s="5" t="s">
        <v>27</v>
      </c>
      <c r="F45" s="3"/>
      <c r="G45" s="3"/>
      <c r="H45" s="6"/>
      <c r="I45" s="6"/>
      <c r="J45" s="6"/>
      <c r="K45" s="6"/>
      <c r="L45" s="6"/>
      <c r="M45" s="6"/>
      <c r="N45" s="6"/>
      <c r="O45" s="6"/>
      <c r="P45" s="7"/>
    </row>
    <row r="46" spans="1:16" s="15" customFormat="1" ht="47.25">
      <c r="A46" s="9"/>
      <c r="B46" s="10" t="s">
        <v>82</v>
      </c>
      <c r="C46" s="9" t="s">
        <v>166</v>
      </c>
      <c r="D46" s="9" t="s">
        <v>40</v>
      </c>
      <c r="E46" s="11" t="s">
        <v>27</v>
      </c>
      <c r="F46" s="9" t="s">
        <v>81</v>
      </c>
      <c r="G46" s="9" t="s">
        <v>28</v>
      </c>
      <c r="H46" s="13">
        <v>0</v>
      </c>
      <c r="I46" s="13">
        <f>J46+K46+L46+M46</f>
        <v>918831</v>
      </c>
      <c r="J46" s="13">
        <f>941173-10902-11440</f>
        <v>918831</v>
      </c>
      <c r="K46" s="13">
        <v>0</v>
      </c>
      <c r="L46" s="13">
        <v>0</v>
      </c>
      <c r="M46" s="13">
        <v>0</v>
      </c>
      <c r="N46" s="13">
        <f>I46*0.8938636</f>
        <v>821309.58545160003</v>
      </c>
      <c r="O46" s="13">
        <f>I46*0.827659</f>
        <v>760478.74662900006</v>
      </c>
      <c r="P46" s="14"/>
    </row>
    <row r="47" spans="1:16" s="22" customFormat="1" ht="47.25">
      <c r="A47" s="16"/>
      <c r="B47" s="17" t="s">
        <v>83</v>
      </c>
      <c r="C47" s="16" t="s">
        <v>167</v>
      </c>
      <c r="D47" s="16" t="s">
        <v>75</v>
      </c>
      <c r="E47" s="18" t="s">
        <v>27</v>
      </c>
      <c r="F47" s="16" t="s">
        <v>81</v>
      </c>
      <c r="G47" s="16" t="s">
        <v>28</v>
      </c>
      <c r="H47" s="20">
        <v>0</v>
      </c>
      <c r="I47" s="20">
        <f t="shared" si="11"/>
        <v>354000</v>
      </c>
      <c r="J47" s="20">
        <f>314000+40000</f>
        <v>354000</v>
      </c>
      <c r="K47" s="20">
        <v>0</v>
      </c>
      <c r="L47" s="20">
        <v>0</v>
      </c>
      <c r="M47" s="20">
        <v>0</v>
      </c>
      <c r="N47" s="20">
        <f>I47*0.8938636</f>
        <v>316427.7144</v>
      </c>
      <c r="O47" s="20">
        <f>I47*0.827659</f>
        <v>292991.28600000002</v>
      </c>
      <c r="P47" s="21"/>
    </row>
    <row r="48" spans="1:16" s="15" customFormat="1" ht="15.75">
      <c r="A48" s="9" t="s">
        <v>84</v>
      </c>
      <c r="B48" s="10" t="s">
        <v>85</v>
      </c>
      <c r="C48" s="9" t="s">
        <v>168</v>
      </c>
      <c r="D48" s="9" t="s">
        <v>40</v>
      </c>
      <c r="E48" s="11" t="s">
        <v>27</v>
      </c>
      <c r="F48" s="9" t="s">
        <v>86</v>
      </c>
      <c r="G48" s="9" t="s">
        <v>28</v>
      </c>
      <c r="H48" s="13">
        <v>0</v>
      </c>
      <c r="I48" s="13">
        <f t="shared" si="11"/>
        <v>14784</v>
      </c>
      <c r="J48" s="13">
        <v>14784</v>
      </c>
      <c r="K48" s="13">
        <v>0</v>
      </c>
      <c r="L48" s="13">
        <v>0</v>
      </c>
      <c r="M48" s="13">
        <v>0</v>
      </c>
      <c r="N48" s="13">
        <f>I48*0.8938636</f>
        <v>13214.8794624</v>
      </c>
      <c r="O48" s="13">
        <f>I48*0.827659</f>
        <v>12236.110656000001</v>
      </c>
      <c r="P48" s="14"/>
    </row>
    <row r="49" spans="1:16" s="15" customFormat="1" ht="15.75">
      <c r="A49" s="9" t="s">
        <v>87</v>
      </c>
      <c r="B49" s="10" t="s">
        <v>88</v>
      </c>
      <c r="C49" s="9" t="s">
        <v>169</v>
      </c>
      <c r="D49" s="9" t="s">
        <v>40</v>
      </c>
      <c r="E49" s="11" t="s">
        <v>27</v>
      </c>
      <c r="F49" s="9" t="s">
        <v>89</v>
      </c>
      <c r="G49" s="9" t="s">
        <v>28</v>
      </c>
      <c r="H49" s="13">
        <v>0</v>
      </c>
      <c r="I49" s="13">
        <f t="shared" si="11"/>
        <v>834</v>
      </c>
      <c r="J49" s="13">
        <f>834</f>
        <v>834</v>
      </c>
      <c r="K49" s="13">
        <v>0</v>
      </c>
      <c r="L49" s="13">
        <v>0</v>
      </c>
      <c r="M49" s="13">
        <v>0</v>
      </c>
      <c r="N49" s="13"/>
      <c r="O49" s="13"/>
      <c r="P49" s="14"/>
    </row>
    <row r="50" spans="1:16" s="22" customFormat="1" ht="15.75">
      <c r="A50" s="16" t="s">
        <v>90</v>
      </c>
      <c r="B50" s="17" t="s">
        <v>91</v>
      </c>
      <c r="C50" s="16" t="s">
        <v>170</v>
      </c>
      <c r="D50" s="16" t="s">
        <v>75</v>
      </c>
      <c r="E50" s="18" t="s">
        <v>27</v>
      </c>
      <c r="F50" s="16" t="s">
        <v>92</v>
      </c>
      <c r="G50" s="16" t="s">
        <v>28</v>
      </c>
      <c r="H50" s="20">
        <v>0</v>
      </c>
      <c r="I50" s="20">
        <f t="shared" si="11"/>
        <v>1299082</v>
      </c>
      <c r="J50" s="20">
        <f>J52+J53+J54+J55</f>
        <v>1299082</v>
      </c>
      <c r="K50" s="20">
        <f t="shared" ref="K50:O50" si="14">K52+K53+K54+K55</f>
        <v>0</v>
      </c>
      <c r="L50" s="20">
        <f t="shared" si="14"/>
        <v>0</v>
      </c>
      <c r="M50" s="20">
        <f t="shared" si="14"/>
        <v>0</v>
      </c>
      <c r="N50" s="20">
        <f t="shared" si="14"/>
        <v>1161202.1132151999</v>
      </c>
      <c r="O50" s="20">
        <f t="shared" si="14"/>
        <v>1075196.909038</v>
      </c>
      <c r="P50" s="21"/>
    </row>
    <row r="51" spans="1:16" ht="15.75" hidden="1">
      <c r="A51" s="3"/>
      <c r="B51" s="4" t="s">
        <v>71</v>
      </c>
      <c r="C51" s="3"/>
      <c r="D51" s="3"/>
      <c r="E51" s="5" t="s">
        <v>27</v>
      </c>
      <c r="F51" s="3"/>
      <c r="G51" s="3"/>
      <c r="H51" s="6"/>
      <c r="I51" s="6"/>
      <c r="J51" s="6"/>
      <c r="K51" s="6"/>
      <c r="L51" s="6"/>
      <c r="M51" s="6"/>
      <c r="N51" s="6"/>
      <c r="O51" s="6"/>
      <c r="P51" s="7"/>
    </row>
    <row r="52" spans="1:16" ht="15.75" hidden="1">
      <c r="A52" s="3"/>
      <c r="B52" s="4" t="s">
        <v>93</v>
      </c>
      <c r="C52" s="16" t="s">
        <v>170</v>
      </c>
      <c r="D52" s="3" t="s">
        <v>75</v>
      </c>
      <c r="E52" s="5" t="s">
        <v>27</v>
      </c>
      <c r="F52" s="3" t="s">
        <v>92</v>
      </c>
      <c r="G52" s="3" t="s">
        <v>94</v>
      </c>
      <c r="H52" s="6">
        <v>0</v>
      </c>
      <c r="I52" s="6">
        <f>J52+K52+L52+M52</f>
        <v>1299082</v>
      </c>
      <c r="J52" s="6">
        <v>1299082</v>
      </c>
      <c r="K52" s="6">
        <v>0</v>
      </c>
      <c r="L52" s="6">
        <v>0</v>
      </c>
      <c r="M52" s="6">
        <v>0</v>
      </c>
      <c r="N52" s="6">
        <f>I52*0.8938636</f>
        <v>1161202.1132151999</v>
      </c>
      <c r="O52" s="6">
        <f>I52*0.827659</f>
        <v>1075196.909038</v>
      </c>
      <c r="P52" s="7"/>
    </row>
    <row r="53" spans="1:16" ht="31.5" hidden="1">
      <c r="A53" s="3"/>
      <c r="B53" s="4" t="s">
        <v>95</v>
      </c>
      <c r="C53" s="16" t="s">
        <v>170</v>
      </c>
      <c r="D53" s="3" t="s">
        <v>75</v>
      </c>
      <c r="E53" s="5" t="s">
        <v>27</v>
      </c>
      <c r="F53" s="3" t="s">
        <v>92</v>
      </c>
      <c r="G53" s="3" t="s">
        <v>96</v>
      </c>
      <c r="H53" s="6">
        <v>0</v>
      </c>
      <c r="I53" s="6">
        <f>J53+K53+L53+M53</f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>I53*0.827659</f>
        <v>0</v>
      </c>
      <c r="P53" s="7"/>
    </row>
    <row r="54" spans="1:16" ht="31.5" hidden="1">
      <c r="A54" s="3"/>
      <c r="B54" s="4" t="s">
        <v>97</v>
      </c>
      <c r="C54" s="16" t="s">
        <v>170</v>
      </c>
      <c r="D54" s="3" t="s">
        <v>75</v>
      </c>
      <c r="E54" s="5" t="s">
        <v>27</v>
      </c>
      <c r="F54" s="3" t="s">
        <v>92</v>
      </c>
      <c r="G54" s="3" t="s">
        <v>98</v>
      </c>
      <c r="H54" s="6">
        <f>I54+N54+O54</f>
        <v>0</v>
      </c>
      <c r="I54" s="6">
        <f>J54+K54+L54+M54</f>
        <v>0</v>
      </c>
      <c r="J54" s="6">
        <v>0</v>
      </c>
      <c r="K54" s="6">
        <v>0</v>
      </c>
      <c r="L54" s="6">
        <v>0</v>
      </c>
      <c r="M54" s="6">
        <v>0</v>
      </c>
      <c r="N54" s="6">
        <f>I54*0.8938636</f>
        <v>0</v>
      </c>
      <c r="O54" s="6">
        <f>I54*0.827659</f>
        <v>0</v>
      </c>
      <c r="P54" s="7"/>
    </row>
    <row r="55" spans="1:16" ht="31.5" hidden="1">
      <c r="A55" s="3"/>
      <c r="B55" s="4" t="s">
        <v>99</v>
      </c>
      <c r="C55" s="16" t="s">
        <v>170</v>
      </c>
      <c r="D55" s="3" t="s">
        <v>75</v>
      </c>
      <c r="E55" s="5" t="s">
        <v>27</v>
      </c>
      <c r="F55" s="3" t="s">
        <v>92</v>
      </c>
      <c r="G55" s="3" t="s">
        <v>100</v>
      </c>
      <c r="H55" s="6">
        <v>0</v>
      </c>
      <c r="I55" s="6">
        <f>J55+K55+L55+M55</f>
        <v>0</v>
      </c>
      <c r="J55" s="6">
        <v>0</v>
      </c>
      <c r="K55" s="6">
        <v>0</v>
      </c>
      <c r="L55" s="6">
        <v>0</v>
      </c>
      <c r="M55" s="6">
        <v>0</v>
      </c>
      <c r="N55" s="6">
        <f>I55*0.8938636</f>
        <v>0</v>
      </c>
      <c r="O55" s="6">
        <f>I55*0.827659</f>
        <v>0</v>
      </c>
      <c r="P55" s="7"/>
    </row>
    <row r="56" spans="1:16" ht="31.5">
      <c r="A56" s="3" t="s">
        <v>101</v>
      </c>
      <c r="B56" s="4" t="s">
        <v>102</v>
      </c>
      <c r="C56" s="25" t="s">
        <v>171</v>
      </c>
      <c r="D56" s="25" t="s">
        <v>75</v>
      </c>
      <c r="E56" s="28" t="s">
        <v>27</v>
      </c>
      <c r="F56" s="3" t="s">
        <v>103</v>
      </c>
      <c r="G56" s="3" t="s">
        <v>28</v>
      </c>
      <c r="H56" s="6">
        <v>0</v>
      </c>
      <c r="I56" s="6">
        <f>J56+K56+L56+M56</f>
        <v>36650</v>
      </c>
      <c r="J56" s="6">
        <f t="shared" ref="J56:O56" si="15">J58+J59+J60</f>
        <v>36650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32760.10094</v>
      </c>
      <c r="O56" s="6">
        <f t="shared" si="15"/>
        <v>30333.70235</v>
      </c>
      <c r="P56" s="7"/>
    </row>
    <row r="57" spans="1:16" ht="15.75">
      <c r="A57" s="3"/>
      <c r="B57" s="4" t="s">
        <v>71</v>
      </c>
      <c r="C57" s="3"/>
      <c r="D57" s="3"/>
      <c r="E57" s="5" t="s">
        <v>27</v>
      </c>
      <c r="F57" s="3"/>
      <c r="G57" s="3"/>
      <c r="H57" s="6"/>
      <c r="I57" s="6"/>
      <c r="J57" s="6"/>
      <c r="K57" s="6"/>
      <c r="L57" s="6"/>
      <c r="M57" s="6"/>
      <c r="N57" s="6"/>
      <c r="O57" s="6"/>
      <c r="P57" s="7"/>
    </row>
    <row r="58" spans="1:16" s="22" customFormat="1" ht="31.5">
      <c r="A58" s="16"/>
      <c r="B58" s="17" t="s">
        <v>104</v>
      </c>
      <c r="C58" s="16" t="s">
        <v>171</v>
      </c>
      <c r="D58" s="16" t="s">
        <v>75</v>
      </c>
      <c r="E58" s="18" t="s">
        <v>27</v>
      </c>
      <c r="F58" s="16" t="s">
        <v>103</v>
      </c>
      <c r="G58" s="16" t="s">
        <v>28</v>
      </c>
      <c r="H58" s="20">
        <v>0</v>
      </c>
      <c r="I58" s="20">
        <f>J58+K58+L58+M58</f>
        <v>36650</v>
      </c>
      <c r="J58" s="20">
        <f>47000-10350</f>
        <v>36650</v>
      </c>
      <c r="K58" s="20">
        <v>0</v>
      </c>
      <c r="L58" s="20">
        <v>0</v>
      </c>
      <c r="M58" s="20">
        <v>0</v>
      </c>
      <c r="N58" s="20">
        <f>I58*0.8938636</f>
        <v>32760.10094</v>
      </c>
      <c r="O58" s="20">
        <f>I58*0.827659</f>
        <v>30333.70235</v>
      </c>
      <c r="P58" s="21"/>
    </row>
    <row r="59" spans="1:16" ht="31.5">
      <c r="A59" s="3"/>
      <c r="B59" s="4" t="s">
        <v>105</v>
      </c>
      <c r="C59" s="16" t="s">
        <v>171</v>
      </c>
      <c r="D59" s="3" t="s">
        <v>75</v>
      </c>
      <c r="E59" s="5" t="s">
        <v>27</v>
      </c>
      <c r="F59" s="3" t="s">
        <v>103</v>
      </c>
      <c r="G59" s="3" t="s">
        <v>28</v>
      </c>
      <c r="H59" s="6">
        <f>I59+N59+O59</f>
        <v>0</v>
      </c>
      <c r="I59" s="6">
        <f>J59+K59+L59+M59</f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7"/>
    </row>
    <row r="60" spans="1:16" ht="47.25">
      <c r="A60" s="3"/>
      <c r="B60" s="4" t="s">
        <v>106</v>
      </c>
      <c r="C60" s="16" t="s">
        <v>171</v>
      </c>
      <c r="D60" s="3" t="s">
        <v>75</v>
      </c>
      <c r="E60" s="5" t="s">
        <v>27</v>
      </c>
      <c r="F60" s="3" t="s">
        <v>103</v>
      </c>
      <c r="G60" s="3" t="s">
        <v>28</v>
      </c>
      <c r="H60" s="6">
        <f>I60+N60+O60</f>
        <v>0</v>
      </c>
      <c r="I60" s="6">
        <f>J60+K60+L60+M60</f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7"/>
    </row>
    <row r="61" spans="1:16" ht="15.75">
      <c r="A61" s="3" t="s">
        <v>107</v>
      </c>
      <c r="B61" s="4" t="s">
        <v>108</v>
      </c>
      <c r="C61" s="3"/>
      <c r="D61" s="3"/>
      <c r="E61" s="5"/>
      <c r="F61" s="3" t="s">
        <v>109</v>
      </c>
      <c r="G61" s="3" t="s">
        <v>28</v>
      </c>
      <c r="H61" s="6">
        <v>0</v>
      </c>
      <c r="I61" s="6">
        <f>J61+K61+L61+M61</f>
        <v>75529.66</v>
      </c>
      <c r="J61" s="6">
        <f>J63+J64</f>
        <v>75529.66</v>
      </c>
      <c r="K61" s="6">
        <f>K63+K64</f>
        <v>0</v>
      </c>
      <c r="L61" s="6">
        <f>L63+L64</f>
        <v>0</v>
      </c>
      <c r="M61" s="6">
        <f>M63+M64</f>
        <v>0</v>
      </c>
      <c r="N61" s="6">
        <f>N63+N65</f>
        <v>46957.926448776001</v>
      </c>
      <c r="O61" s="6">
        <f>O63+O65</f>
        <v>43479.956501940003</v>
      </c>
      <c r="P61" s="7"/>
    </row>
    <row r="62" spans="1:16" ht="15.75">
      <c r="A62" s="3"/>
      <c r="B62" s="4" t="s">
        <v>71</v>
      </c>
      <c r="C62" s="3"/>
      <c r="D62" s="3"/>
      <c r="E62" s="5"/>
      <c r="F62" s="3"/>
      <c r="G62" s="3"/>
      <c r="H62" s="6"/>
      <c r="I62" s="6"/>
      <c r="J62" s="6"/>
      <c r="K62" s="6"/>
      <c r="L62" s="6"/>
      <c r="M62" s="6"/>
      <c r="N62" s="6"/>
      <c r="O62" s="6"/>
      <c r="P62" s="7"/>
    </row>
    <row r="63" spans="1:16" s="15" customFormat="1" ht="31.5">
      <c r="A63" s="9"/>
      <c r="B63" s="10" t="s">
        <v>110</v>
      </c>
      <c r="C63" s="9" t="s">
        <v>172</v>
      </c>
      <c r="D63" s="9" t="s">
        <v>40</v>
      </c>
      <c r="E63" s="5" t="s">
        <v>27</v>
      </c>
      <c r="F63" s="9" t="s">
        <v>109</v>
      </c>
      <c r="G63" s="9" t="s">
        <v>28</v>
      </c>
      <c r="H63" s="13">
        <v>0</v>
      </c>
      <c r="I63" s="13">
        <f>J63+K63+L63+M63</f>
        <v>52533.66</v>
      </c>
      <c r="J63" s="13">
        <f>9000+14671+7900+25000-4175.34+138</f>
        <v>52533.66</v>
      </c>
      <c r="K63" s="13">
        <v>0</v>
      </c>
      <c r="L63" s="13">
        <v>0</v>
      </c>
      <c r="M63" s="13">
        <v>0</v>
      </c>
      <c r="N63" s="13">
        <f>I63*0.8938636</f>
        <v>46957.926448776001</v>
      </c>
      <c r="O63" s="13">
        <f>I63*0.827659</f>
        <v>43479.956501940003</v>
      </c>
      <c r="P63" s="14"/>
    </row>
    <row r="64" spans="1:16" s="22" customFormat="1" ht="31.5">
      <c r="A64" s="16"/>
      <c r="B64" s="17" t="s">
        <v>111</v>
      </c>
      <c r="C64" s="16" t="s">
        <v>173</v>
      </c>
      <c r="D64" s="16" t="s">
        <v>75</v>
      </c>
      <c r="E64" s="5" t="s">
        <v>27</v>
      </c>
      <c r="F64" s="16" t="s">
        <v>109</v>
      </c>
      <c r="G64" s="16" t="s">
        <v>28</v>
      </c>
      <c r="H64" s="20">
        <v>0</v>
      </c>
      <c r="I64" s="20">
        <f>J64+K64+L64+M64</f>
        <v>22996</v>
      </c>
      <c r="J64" s="20">
        <f>57000-100-1150-1578-1176-30000</f>
        <v>22996</v>
      </c>
      <c r="K64" s="20">
        <v>0</v>
      </c>
      <c r="L64" s="20">
        <v>0</v>
      </c>
      <c r="M64" s="20">
        <v>0</v>
      </c>
      <c r="N64" s="20">
        <f>I64*0.8938636</f>
        <v>20555.287345599998</v>
      </c>
      <c r="O64" s="20">
        <f>I64*0.827659</f>
        <v>19032.846364000001</v>
      </c>
      <c r="P64" s="21"/>
    </row>
    <row r="65" spans="1:16" ht="78.75">
      <c r="A65" s="3"/>
      <c r="B65" s="4" t="s">
        <v>112</v>
      </c>
      <c r="C65" s="3" t="s">
        <v>172</v>
      </c>
      <c r="D65" s="3" t="s">
        <v>40</v>
      </c>
      <c r="E65" s="5" t="s">
        <v>27</v>
      </c>
      <c r="F65" s="3" t="s">
        <v>109</v>
      </c>
      <c r="G65" s="3" t="s">
        <v>28</v>
      </c>
      <c r="H65" s="6">
        <f>I65+N65+O65</f>
        <v>0</v>
      </c>
      <c r="I65" s="6">
        <f>J65+K65+L65+M65</f>
        <v>0</v>
      </c>
      <c r="J65" s="6">
        <v>0</v>
      </c>
      <c r="K65" s="6">
        <v>0</v>
      </c>
      <c r="L65" s="6">
        <v>0</v>
      </c>
      <c r="M65" s="6">
        <v>0</v>
      </c>
      <c r="N65" s="26">
        <f>I65*0.8938636</f>
        <v>0</v>
      </c>
      <c r="O65" s="26">
        <f>I65*0.827659</f>
        <v>0</v>
      </c>
      <c r="P65" s="7"/>
    </row>
    <row r="66" spans="1:16" ht="31.5">
      <c r="A66" s="3" t="s">
        <v>113</v>
      </c>
      <c r="B66" s="4" t="s">
        <v>114</v>
      </c>
      <c r="C66" s="3"/>
      <c r="D66" s="25"/>
      <c r="E66" s="5" t="s">
        <v>27</v>
      </c>
      <c r="F66" s="3" t="s">
        <v>115</v>
      </c>
      <c r="G66" s="3" t="s">
        <v>28</v>
      </c>
      <c r="H66" s="6">
        <v>0</v>
      </c>
      <c r="I66" s="6">
        <f>J66+K66+L66+M66</f>
        <v>89676</v>
      </c>
      <c r="J66" s="6">
        <f>J70+J71+J68+J69</f>
        <v>89676</v>
      </c>
      <c r="K66" s="6">
        <v>0</v>
      </c>
      <c r="L66" s="6">
        <f t="shared" ref="J66:O66" si="16">L70+L71+L68</f>
        <v>0</v>
      </c>
      <c r="M66" s="6">
        <v>0</v>
      </c>
      <c r="N66" s="6">
        <f t="shared" si="16"/>
        <v>79106.928599999999</v>
      </c>
      <c r="O66" s="6">
        <f t="shared" si="16"/>
        <v>73247.821500000005</v>
      </c>
      <c r="P66" s="7"/>
    </row>
    <row r="67" spans="1:16" ht="15.75">
      <c r="A67" s="3"/>
      <c r="B67" s="4" t="s">
        <v>71</v>
      </c>
      <c r="C67" s="3"/>
      <c r="D67" s="25"/>
      <c r="E67" s="5" t="s">
        <v>27</v>
      </c>
      <c r="F67" s="3"/>
      <c r="G67" s="3"/>
      <c r="H67" s="6"/>
      <c r="I67" s="6"/>
      <c r="J67" s="6"/>
      <c r="K67" s="6"/>
      <c r="L67" s="6"/>
      <c r="M67" s="6"/>
      <c r="N67" s="6"/>
      <c r="O67" s="6"/>
      <c r="P67" s="7"/>
    </row>
    <row r="68" spans="1:16" ht="39.75" customHeight="1">
      <c r="A68" s="3"/>
      <c r="B68" s="4" t="s">
        <v>116</v>
      </c>
      <c r="C68" s="3" t="s">
        <v>174</v>
      </c>
      <c r="D68" s="3" t="s">
        <v>40</v>
      </c>
      <c r="E68" s="5" t="s">
        <v>27</v>
      </c>
      <c r="F68" s="24" t="s">
        <v>115</v>
      </c>
      <c r="G68" s="24" t="s">
        <v>28</v>
      </c>
      <c r="H68" s="27">
        <v>0</v>
      </c>
      <c r="I68" s="27">
        <f>J68+K68+L68+M68</f>
        <v>88500</v>
      </c>
      <c r="J68" s="27">
        <f>28200+23300+37000</f>
        <v>88500</v>
      </c>
      <c r="K68" s="27">
        <v>0</v>
      </c>
      <c r="L68" s="27">
        <v>0</v>
      </c>
      <c r="M68" s="27">
        <v>0</v>
      </c>
      <c r="N68" s="27">
        <f t="shared" ref="N68:N69" si="17">I68*0.8938636</f>
        <v>79106.928599999999</v>
      </c>
      <c r="O68" s="27">
        <f t="shared" ref="O68:O69" si="18">I68*0.827659</f>
        <v>73247.821500000005</v>
      </c>
      <c r="P68" s="7"/>
    </row>
    <row r="69" spans="1:16" ht="31.5">
      <c r="A69" s="3"/>
      <c r="B69" s="4" t="s">
        <v>117</v>
      </c>
      <c r="C69" s="3" t="s">
        <v>175</v>
      </c>
      <c r="D69" s="25" t="s">
        <v>75</v>
      </c>
      <c r="E69" s="5" t="s">
        <v>27</v>
      </c>
      <c r="F69" s="16" t="s">
        <v>115</v>
      </c>
      <c r="G69" s="16" t="s">
        <v>28</v>
      </c>
      <c r="H69" s="20">
        <v>0</v>
      </c>
      <c r="I69" s="20">
        <f>J69</f>
        <v>1176</v>
      </c>
      <c r="J69" s="20">
        <f>1176</f>
        <v>1176</v>
      </c>
      <c r="K69" s="20">
        <v>0</v>
      </c>
      <c r="L69" s="20">
        <v>0</v>
      </c>
      <c r="M69" s="20">
        <v>0</v>
      </c>
      <c r="N69" s="20">
        <f t="shared" si="17"/>
        <v>1051.1835936</v>
      </c>
      <c r="O69" s="20">
        <f t="shared" si="18"/>
        <v>973.32698400000004</v>
      </c>
      <c r="P69" s="7"/>
    </row>
    <row r="70" spans="1:16" ht="78.75">
      <c r="A70" s="3"/>
      <c r="B70" s="4" t="s">
        <v>118</v>
      </c>
      <c r="C70" s="3" t="s">
        <v>174</v>
      </c>
      <c r="D70" s="3" t="s">
        <v>40</v>
      </c>
      <c r="E70" s="5" t="s">
        <v>27</v>
      </c>
      <c r="F70" s="3" t="s">
        <v>115</v>
      </c>
      <c r="G70" s="3" t="s">
        <v>28</v>
      </c>
      <c r="H70" s="6">
        <f>I70+N70+O70</f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7"/>
    </row>
    <row r="71" spans="1:16" ht="47.25">
      <c r="A71" s="3" t="s">
        <v>119</v>
      </c>
      <c r="B71" s="4" t="s">
        <v>120</v>
      </c>
      <c r="C71" s="3"/>
      <c r="D71" s="25"/>
      <c r="E71" s="5"/>
      <c r="F71" s="3" t="s">
        <v>115</v>
      </c>
      <c r="G71" s="3" t="s">
        <v>28</v>
      </c>
      <c r="H71" s="6">
        <f>I71+N71+O71</f>
        <v>0</v>
      </c>
      <c r="I71" s="6">
        <f>J71+K71+L71+M71</f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7"/>
    </row>
    <row r="72" spans="1:16" ht="31.5">
      <c r="A72" s="3" t="s">
        <v>121</v>
      </c>
      <c r="B72" s="4" t="s">
        <v>122</v>
      </c>
      <c r="C72" s="3"/>
      <c r="D72" s="25"/>
      <c r="E72" s="5"/>
      <c r="F72" s="3" t="s">
        <v>123</v>
      </c>
      <c r="G72" s="3" t="s">
        <v>28</v>
      </c>
      <c r="H72" s="6">
        <v>0</v>
      </c>
      <c r="I72" s="6">
        <f>J72+K72+L72+M72</f>
        <v>163272.29999999999</v>
      </c>
      <c r="J72" s="6">
        <f>J74+J75+J76+J77</f>
        <v>163272.29999999999</v>
      </c>
      <c r="K72" s="6">
        <f t="shared" ref="K72:M72" si="19">K74+K75+K76+K77</f>
        <v>0</v>
      </c>
      <c r="L72" s="6">
        <f t="shared" si="19"/>
        <v>0</v>
      </c>
      <c r="M72" s="6">
        <f t="shared" si="19"/>
        <v>0</v>
      </c>
      <c r="N72" s="6">
        <f t="shared" ref="N72:O72" si="20">N74+N75+N76</f>
        <v>145943.16585828</v>
      </c>
      <c r="O72" s="6">
        <f t="shared" si="20"/>
        <v>135133.78854570002</v>
      </c>
      <c r="P72" s="7"/>
    </row>
    <row r="73" spans="1:16" ht="15.75">
      <c r="A73" s="3"/>
      <c r="B73" s="4" t="s">
        <v>71</v>
      </c>
      <c r="C73" s="3"/>
      <c r="D73" s="3"/>
      <c r="E73" s="5"/>
      <c r="F73" s="3"/>
      <c r="G73" s="3"/>
      <c r="H73" s="6"/>
      <c r="I73" s="6"/>
      <c r="J73" s="6"/>
      <c r="K73" s="6"/>
      <c r="L73" s="6"/>
      <c r="M73" s="6"/>
      <c r="N73" s="6"/>
      <c r="O73" s="6"/>
      <c r="P73" s="7"/>
    </row>
    <row r="74" spans="1:16" ht="78.75">
      <c r="A74" s="3"/>
      <c r="B74" s="4" t="s">
        <v>118</v>
      </c>
      <c r="C74" s="3" t="s">
        <v>176</v>
      </c>
      <c r="D74" s="3" t="s">
        <v>40</v>
      </c>
      <c r="E74" s="5" t="s">
        <v>27</v>
      </c>
      <c r="F74" s="3" t="s">
        <v>123</v>
      </c>
      <c r="G74" s="3" t="s">
        <v>28</v>
      </c>
      <c r="H74" s="6">
        <f>I74+N74+O74</f>
        <v>0</v>
      </c>
      <c r="I74" s="6">
        <f>J74+K74+L74+M74</f>
        <v>0</v>
      </c>
      <c r="J74" s="6">
        <f t="shared" ref="J74:O74" si="21">K74+L74+M74+N74</f>
        <v>0</v>
      </c>
      <c r="K74" s="6">
        <f t="shared" si="21"/>
        <v>0</v>
      </c>
      <c r="L74" s="6">
        <f t="shared" si="21"/>
        <v>0</v>
      </c>
      <c r="M74" s="6">
        <f t="shared" si="21"/>
        <v>0</v>
      </c>
      <c r="N74" s="6">
        <f t="shared" si="21"/>
        <v>0</v>
      </c>
      <c r="O74" s="6">
        <f t="shared" si="21"/>
        <v>0</v>
      </c>
      <c r="P74" s="7"/>
    </row>
    <row r="75" spans="1:16" s="15" customFormat="1" ht="31.5">
      <c r="A75" s="16"/>
      <c r="B75" s="17" t="s">
        <v>124</v>
      </c>
      <c r="C75" s="16" t="s">
        <v>176</v>
      </c>
      <c r="D75" s="16" t="s">
        <v>40</v>
      </c>
      <c r="E75" s="18" t="s">
        <v>27</v>
      </c>
      <c r="F75" s="16" t="s">
        <v>123</v>
      </c>
      <c r="G75" s="16" t="s">
        <v>28</v>
      </c>
      <c r="H75" s="20">
        <v>0</v>
      </c>
      <c r="I75" s="20">
        <f>J75+K75+L75+M75</f>
        <v>112719</v>
      </c>
      <c r="J75" s="20">
        <f>137108-9000-15389</f>
        <v>112719</v>
      </c>
      <c r="K75" s="20">
        <v>0</v>
      </c>
      <c r="L75" s="20">
        <v>0</v>
      </c>
      <c r="M75" s="20">
        <v>0</v>
      </c>
      <c r="N75" s="20">
        <f>I75*0.8938636</f>
        <v>100755.4111284</v>
      </c>
      <c r="O75" s="20">
        <f>I75*0.827659</f>
        <v>93292.894821000009</v>
      </c>
      <c r="P75" s="14"/>
    </row>
    <row r="76" spans="1:16" s="15" customFormat="1" ht="47.25">
      <c r="A76" s="9"/>
      <c r="B76" s="10" t="s">
        <v>125</v>
      </c>
      <c r="C76" s="9" t="s">
        <v>176</v>
      </c>
      <c r="D76" s="9" t="s">
        <v>188</v>
      </c>
      <c r="E76" s="5" t="s">
        <v>27</v>
      </c>
      <c r="F76" s="9" t="s">
        <v>123</v>
      </c>
      <c r="G76" s="9" t="s">
        <v>28</v>
      </c>
      <c r="H76" s="13">
        <v>0</v>
      </c>
      <c r="I76" s="13">
        <f>J76+K76+L76+M76</f>
        <v>50553.3</v>
      </c>
      <c r="J76" s="13">
        <v>50553.3</v>
      </c>
      <c r="K76" s="13">
        <v>0</v>
      </c>
      <c r="L76" s="13">
        <v>0</v>
      </c>
      <c r="M76" s="13">
        <v>0</v>
      </c>
      <c r="N76" s="13">
        <f>I76*0.8938636</f>
        <v>45187.754729879998</v>
      </c>
      <c r="O76" s="13">
        <f>I76*0.827659</f>
        <v>41840.893724700007</v>
      </c>
      <c r="P76" s="14"/>
    </row>
    <row r="77" spans="1:16" s="22" customFormat="1" ht="47.25">
      <c r="A77" s="16"/>
      <c r="B77" s="17" t="s">
        <v>126</v>
      </c>
      <c r="C77" s="16" t="s">
        <v>177</v>
      </c>
      <c r="D77" s="16" t="s">
        <v>75</v>
      </c>
      <c r="E77" s="5" t="s">
        <v>27</v>
      </c>
      <c r="F77" s="16" t="s">
        <v>123</v>
      </c>
      <c r="G77" s="16" t="s">
        <v>28</v>
      </c>
      <c r="H77" s="20">
        <v>0</v>
      </c>
      <c r="I77" s="20">
        <f>J77+K77+L77+M77</f>
        <v>0</v>
      </c>
      <c r="J77" s="20">
        <v>0</v>
      </c>
      <c r="K77" s="20">
        <v>0</v>
      </c>
      <c r="L77" s="20">
        <v>0</v>
      </c>
      <c r="M77" s="20">
        <v>0</v>
      </c>
      <c r="N77" s="20">
        <f>I77*0.8938636</f>
        <v>0</v>
      </c>
      <c r="O77" s="20">
        <f>I77*0.827659</f>
        <v>0</v>
      </c>
      <c r="P77" s="21"/>
    </row>
    <row r="78" spans="1:16" ht="15.75">
      <c r="A78" s="3" t="s">
        <v>127</v>
      </c>
      <c r="B78" s="4" t="s">
        <v>128</v>
      </c>
      <c r="C78" s="3"/>
      <c r="D78" s="3"/>
      <c r="E78" s="5"/>
      <c r="F78" s="3" t="s">
        <v>129</v>
      </c>
      <c r="G78" s="3" t="s">
        <v>28</v>
      </c>
      <c r="H78" s="6">
        <v>0</v>
      </c>
      <c r="I78" s="6">
        <f>J78+K78+L78+M78</f>
        <v>3546</v>
      </c>
      <c r="J78" s="6">
        <f t="shared" ref="J78:O78" si="22">J80+J81</f>
        <v>3546</v>
      </c>
      <c r="K78" s="6">
        <f t="shared" si="22"/>
        <v>0</v>
      </c>
      <c r="L78" s="6">
        <f t="shared" si="22"/>
        <v>0</v>
      </c>
      <c r="M78" s="6">
        <f t="shared" si="22"/>
        <v>0</v>
      </c>
      <c r="N78" s="6">
        <f t="shared" si="22"/>
        <v>3169.6403255999999</v>
      </c>
      <c r="O78" s="6">
        <f t="shared" si="22"/>
        <v>2934.8788140000006</v>
      </c>
      <c r="P78" s="7"/>
    </row>
    <row r="79" spans="1:16" ht="15.75">
      <c r="A79" s="3"/>
      <c r="B79" s="4" t="s">
        <v>71</v>
      </c>
      <c r="C79" s="3"/>
      <c r="D79" s="3"/>
      <c r="E79" s="5"/>
      <c r="F79" s="3"/>
      <c r="G79" s="3"/>
      <c r="H79" s="6"/>
      <c r="I79" s="6"/>
      <c r="J79" s="6"/>
      <c r="K79" s="6"/>
      <c r="L79" s="6"/>
      <c r="M79" s="6"/>
      <c r="N79" s="6"/>
      <c r="O79" s="6"/>
      <c r="P79" s="7"/>
    </row>
    <row r="80" spans="1:16" s="15" customFormat="1" ht="15.75">
      <c r="A80" s="9" t="s">
        <v>130</v>
      </c>
      <c r="B80" s="10" t="s">
        <v>128</v>
      </c>
      <c r="C80" s="9" t="s">
        <v>178</v>
      </c>
      <c r="D80" s="9" t="s">
        <v>40</v>
      </c>
      <c r="E80" s="5" t="s">
        <v>27</v>
      </c>
      <c r="F80" s="9" t="s">
        <v>129</v>
      </c>
      <c r="G80" s="9" t="s">
        <v>28</v>
      </c>
      <c r="H80" s="13">
        <v>0</v>
      </c>
      <c r="I80" s="13">
        <f>J80+K80+L80+M80</f>
        <v>718</v>
      </c>
      <c r="J80" s="13">
        <v>718</v>
      </c>
      <c r="K80" s="13">
        <f>4000-4000</f>
        <v>0</v>
      </c>
      <c r="L80" s="13">
        <v>0</v>
      </c>
      <c r="M80" s="13">
        <v>0</v>
      </c>
      <c r="N80" s="27">
        <f t="shared" ref="N80:N81" si="23">I80*0.8938636</f>
        <v>641.7940648</v>
      </c>
      <c r="O80" s="27">
        <f t="shared" ref="O80:O81" si="24">I80*0.827659</f>
        <v>594.25916200000006</v>
      </c>
      <c r="P80" s="14"/>
    </row>
    <row r="81" spans="1:16" ht="15.75">
      <c r="A81" s="3" t="s">
        <v>131</v>
      </c>
      <c r="B81" s="17" t="s">
        <v>128</v>
      </c>
      <c r="C81" s="3" t="s">
        <v>179</v>
      </c>
      <c r="D81" s="3" t="s">
        <v>75</v>
      </c>
      <c r="E81" s="5" t="s">
        <v>27</v>
      </c>
      <c r="F81" s="3" t="s">
        <v>129</v>
      </c>
      <c r="G81" s="3" t="s">
        <v>28</v>
      </c>
      <c r="H81" s="6">
        <v>0</v>
      </c>
      <c r="I81" s="6">
        <f>J81+K81+L81+M81</f>
        <v>2828</v>
      </c>
      <c r="J81" s="6">
        <f>100+1000+1578+150</f>
        <v>2828</v>
      </c>
      <c r="K81" s="6">
        <f>500-500</f>
        <v>0</v>
      </c>
      <c r="L81" s="6">
        <v>0</v>
      </c>
      <c r="M81" s="6">
        <v>0</v>
      </c>
      <c r="N81" s="20">
        <f t="shared" si="23"/>
        <v>2527.8462608</v>
      </c>
      <c r="O81" s="20">
        <f t="shared" si="24"/>
        <v>2340.6196520000003</v>
      </c>
      <c r="P81" s="7"/>
    </row>
    <row r="82" spans="1:16" ht="31.5">
      <c r="A82" s="3" t="s">
        <v>132</v>
      </c>
      <c r="B82" s="4" t="s">
        <v>133</v>
      </c>
      <c r="C82" s="3" t="s">
        <v>46</v>
      </c>
      <c r="D82" s="3"/>
      <c r="E82" s="5"/>
      <c r="F82" s="3" t="s">
        <v>28</v>
      </c>
      <c r="G82" s="3" t="s">
        <v>28</v>
      </c>
      <c r="H82" s="6">
        <v>0</v>
      </c>
      <c r="I82" s="6">
        <f>I83+I84+I85+I86+I87+I88</f>
        <v>217063</v>
      </c>
      <c r="J82" s="6">
        <f>J83+J84+J85+J86+J87+J88</f>
        <v>217063</v>
      </c>
      <c r="K82" s="6">
        <f t="shared" ref="K82:M82" si="25">K83+K84+K85+K86</f>
        <v>0</v>
      </c>
      <c r="L82" s="6">
        <f t="shared" si="25"/>
        <v>0</v>
      </c>
      <c r="M82" s="6">
        <f t="shared" si="25"/>
        <v>0</v>
      </c>
      <c r="N82" s="31">
        <f>I82*0.8938636</f>
        <v>194024.7146068</v>
      </c>
      <c r="O82" s="31">
        <f>I82*0.827659</f>
        <v>179654.145517</v>
      </c>
      <c r="P82" s="7"/>
    </row>
    <row r="83" spans="1:16" s="15" customFormat="1" ht="69" customHeight="1">
      <c r="A83" s="9" t="s">
        <v>134</v>
      </c>
      <c r="B83" s="35" t="s">
        <v>196</v>
      </c>
      <c r="C83" s="25" t="s">
        <v>151</v>
      </c>
      <c r="D83" s="25" t="s">
        <v>75</v>
      </c>
      <c r="E83" s="11" t="s">
        <v>182</v>
      </c>
      <c r="F83" s="25" t="s">
        <v>123</v>
      </c>
      <c r="G83" s="25" t="s">
        <v>28</v>
      </c>
      <c r="H83" s="13">
        <v>0</v>
      </c>
      <c r="I83" s="13">
        <f>J83+K83+L83+M83</f>
        <v>64600</v>
      </c>
      <c r="J83" s="13">
        <f>J20</f>
        <v>64600</v>
      </c>
      <c r="K83" s="13">
        <v>0</v>
      </c>
      <c r="L83" s="13">
        <v>0</v>
      </c>
      <c r="M83" s="13">
        <v>0</v>
      </c>
      <c r="N83" s="12">
        <f>I83*0.8938636</f>
        <v>57743.588559999997</v>
      </c>
      <c r="O83" s="12">
        <f>I83*0.827659</f>
        <v>53466.771400000005</v>
      </c>
      <c r="P83" s="14"/>
    </row>
    <row r="84" spans="1:16" s="15" customFormat="1" ht="63">
      <c r="A84" s="9" t="s">
        <v>135</v>
      </c>
      <c r="B84" s="10" t="s">
        <v>197</v>
      </c>
      <c r="C84" s="25" t="s">
        <v>152</v>
      </c>
      <c r="D84" s="25" t="s">
        <v>49</v>
      </c>
      <c r="E84" s="11" t="s">
        <v>183</v>
      </c>
      <c r="F84" s="25" t="s">
        <v>123</v>
      </c>
      <c r="G84" s="25" t="s">
        <v>28</v>
      </c>
      <c r="H84" s="13">
        <v>0</v>
      </c>
      <c r="I84" s="13">
        <f>J84+K84+L84+M84</f>
        <v>90440</v>
      </c>
      <c r="J84" s="13">
        <f>J21</f>
        <v>90440</v>
      </c>
      <c r="K84" s="13">
        <v>0</v>
      </c>
      <c r="L84" s="13">
        <v>0</v>
      </c>
      <c r="M84" s="13">
        <v>0</v>
      </c>
      <c r="N84" s="12">
        <f>I84*0.8938636</f>
        <v>80841.023983999999</v>
      </c>
      <c r="O84" s="12">
        <f>I84*0.827659</f>
        <v>74853.479959999997</v>
      </c>
      <c r="P84" s="14"/>
    </row>
    <row r="85" spans="1:16" ht="50.25" customHeight="1">
      <c r="A85" s="3" t="s">
        <v>136</v>
      </c>
      <c r="B85" s="4" t="s">
        <v>186</v>
      </c>
      <c r="C85" s="3" t="s">
        <v>153</v>
      </c>
      <c r="D85" s="25" t="s">
        <v>75</v>
      </c>
      <c r="E85" s="5" t="s">
        <v>187</v>
      </c>
      <c r="F85" s="3" t="s">
        <v>103</v>
      </c>
      <c r="G85" s="3" t="s">
        <v>28</v>
      </c>
      <c r="H85" s="6">
        <v>0</v>
      </c>
      <c r="I85" s="6">
        <f t="shared" ref="I85:I88" si="26">J85+K85+L85+M85</f>
        <v>0</v>
      </c>
      <c r="J85" s="6"/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7"/>
    </row>
    <row r="86" spans="1:16" ht="47.25">
      <c r="A86" s="3" t="s">
        <v>137</v>
      </c>
      <c r="B86" s="36" t="s">
        <v>198</v>
      </c>
      <c r="C86" s="3" t="s">
        <v>151</v>
      </c>
      <c r="D86" s="3" t="s">
        <v>75</v>
      </c>
      <c r="E86" s="5" t="s">
        <v>184</v>
      </c>
      <c r="F86" s="3" t="s">
        <v>123</v>
      </c>
      <c r="G86" s="3" t="s">
        <v>28</v>
      </c>
      <c r="H86" s="6">
        <v>0</v>
      </c>
      <c r="I86" s="6">
        <f t="shared" si="26"/>
        <v>62023</v>
      </c>
      <c r="J86" s="6">
        <f>J23</f>
        <v>62023</v>
      </c>
      <c r="K86" s="6">
        <v>0</v>
      </c>
      <c r="L86" s="6">
        <v>0</v>
      </c>
      <c r="M86" s="6">
        <v>0</v>
      </c>
      <c r="N86" s="6">
        <f t="shared" ref="N86:N88" si="27">I86*0.8938636</f>
        <v>55440.102062799997</v>
      </c>
      <c r="O86" s="6">
        <f t="shared" ref="O86:O88" si="28">I86*0.827659</f>
        <v>51333.894157000002</v>
      </c>
      <c r="P86" s="7"/>
    </row>
    <row r="87" spans="1:16" s="15" customFormat="1" ht="117" customHeight="1">
      <c r="A87" s="9" t="s">
        <v>138</v>
      </c>
      <c r="B87" s="10" t="s">
        <v>191</v>
      </c>
      <c r="C87" s="9" t="s">
        <v>153</v>
      </c>
      <c r="D87" s="9" t="s">
        <v>75</v>
      </c>
      <c r="E87" s="11" t="s">
        <v>192</v>
      </c>
      <c r="F87" s="9" t="s">
        <v>103</v>
      </c>
      <c r="G87" s="9" t="s">
        <v>28</v>
      </c>
      <c r="H87" s="13">
        <v>0</v>
      </c>
      <c r="I87" s="13">
        <f t="shared" si="26"/>
        <v>0</v>
      </c>
      <c r="J87" s="13">
        <f>477700-200000-249200-28500</f>
        <v>0</v>
      </c>
      <c r="K87" s="13">
        <v>0</v>
      </c>
      <c r="L87" s="13">
        <v>0</v>
      </c>
      <c r="M87" s="13">
        <v>0</v>
      </c>
      <c r="N87" s="12">
        <f t="shared" si="27"/>
        <v>0</v>
      </c>
      <c r="O87" s="12">
        <f t="shared" si="28"/>
        <v>0</v>
      </c>
      <c r="P87" s="14"/>
    </row>
    <row r="88" spans="1:16" s="15" customFormat="1" ht="101.25" customHeight="1">
      <c r="A88" s="9" t="s">
        <v>139</v>
      </c>
      <c r="B88" s="10" t="s">
        <v>193</v>
      </c>
      <c r="C88" s="9" t="s">
        <v>153</v>
      </c>
      <c r="D88" s="9" t="s">
        <v>194</v>
      </c>
      <c r="E88" s="11" t="s">
        <v>195</v>
      </c>
      <c r="F88" s="9" t="s">
        <v>103</v>
      </c>
      <c r="G88" s="9" t="s">
        <v>28</v>
      </c>
      <c r="H88" s="13">
        <v>0</v>
      </c>
      <c r="I88" s="13">
        <f t="shared" si="26"/>
        <v>0</v>
      </c>
      <c r="J88" s="13">
        <f>955600-6500-949100</f>
        <v>0</v>
      </c>
      <c r="K88" s="13">
        <v>0</v>
      </c>
      <c r="L88" s="13">
        <v>0</v>
      </c>
      <c r="M88" s="13">
        <v>0</v>
      </c>
      <c r="N88" s="12">
        <f t="shared" si="27"/>
        <v>0</v>
      </c>
      <c r="O88" s="12">
        <f t="shared" si="28"/>
        <v>0</v>
      </c>
      <c r="P88" s="14"/>
    </row>
    <row r="89" spans="1:16" ht="15.75">
      <c r="A89" s="3" t="s">
        <v>140</v>
      </c>
      <c r="B89" s="4" t="s">
        <v>141</v>
      </c>
      <c r="C89" s="3" t="s">
        <v>181</v>
      </c>
      <c r="D89" s="3" t="s">
        <v>181</v>
      </c>
      <c r="E89" s="5">
        <v>0</v>
      </c>
      <c r="F89" s="3" t="s">
        <v>28</v>
      </c>
      <c r="G89" s="3" t="s">
        <v>28</v>
      </c>
      <c r="H89" s="6">
        <v>0</v>
      </c>
      <c r="I89" s="6">
        <f>J89+K89+L89+M89</f>
        <v>0</v>
      </c>
      <c r="J89" s="6">
        <v>0</v>
      </c>
      <c r="K89" s="6">
        <v>0</v>
      </c>
      <c r="L89" s="6">
        <v>0</v>
      </c>
      <c r="M89" s="6">
        <v>0</v>
      </c>
      <c r="N89" s="26">
        <f>I89*0.8938636</f>
        <v>0</v>
      </c>
      <c r="O89" s="26">
        <f>I89*0.827659</f>
        <v>0</v>
      </c>
      <c r="P89" s="7"/>
    </row>
    <row r="90" spans="1:16" ht="195" customHeight="1">
      <c r="A90" s="3" t="s">
        <v>142</v>
      </c>
      <c r="B90" s="4" t="s">
        <v>143</v>
      </c>
      <c r="C90" s="3" t="s">
        <v>180</v>
      </c>
      <c r="D90" s="3" t="s">
        <v>185</v>
      </c>
      <c r="E90" s="5" t="s">
        <v>27</v>
      </c>
      <c r="F90" s="3" t="s">
        <v>123</v>
      </c>
      <c r="G90" s="3" t="s">
        <v>28</v>
      </c>
      <c r="H90" s="6">
        <v>0</v>
      </c>
      <c r="I90" s="6">
        <f>J90+K90+L90+M90</f>
        <v>104000</v>
      </c>
      <c r="J90" s="6">
        <v>104000</v>
      </c>
      <c r="K90" s="6">
        <v>0</v>
      </c>
      <c r="L90" s="6">
        <v>0</v>
      </c>
      <c r="M90" s="6">
        <v>0</v>
      </c>
      <c r="N90" s="31">
        <f>I90*0.8938636</f>
        <v>92961.814400000003</v>
      </c>
      <c r="O90" s="31">
        <f>I90*0.827659</f>
        <v>86076.536000000007</v>
      </c>
      <c r="P90" s="7"/>
    </row>
    <row r="91" spans="1:16" ht="15.75">
      <c r="A91" s="5" t="s">
        <v>144</v>
      </c>
      <c r="B91" s="4" t="s">
        <v>145</v>
      </c>
      <c r="C91" s="3"/>
      <c r="D91" s="3"/>
      <c r="E91" s="5"/>
      <c r="F91" s="4"/>
      <c r="G91" s="4"/>
      <c r="H91" s="6">
        <v>0</v>
      </c>
      <c r="I91" s="6">
        <v>0</v>
      </c>
      <c r="J91" s="6" t="s">
        <v>29</v>
      </c>
      <c r="K91" s="6" t="s">
        <v>29</v>
      </c>
      <c r="L91" s="6" t="s">
        <v>29</v>
      </c>
      <c r="M91" s="6" t="s">
        <v>29</v>
      </c>
      <c r="N91" s="6"/>
      <c r="O91" s="6"/>
    </row>
    <row r="92" spans="1:16" ht="15.75">
      <c r="A92" s="5" t="s">
        <v>146</v>
      </c>
      <c r="B92" s="4" t="s">
        <v>147</v>
      </c>
      <c r="C92" s="3"/>
      <c r="D92" s="3"/>
      <c r="E92" s="5"/>
      <c r="F92" s="4"/>
      <c r="G92" s="4"/>
      <c r="H92" s="6">
        <f t="shared" ref="H92:H93" si="29">I92+N92+O92</f>
        <v>0</v>
      </c>
      <c r="I92" s="6">
        <f t="shared" ref="I92:I93" si="30">J92+K92+L92+M92</f>
        <v>0</v>
      </c>
      <c r="J92" s="6"/>
      <c r="K92" s="6"/>
      <c r="L92" s="6"/>
      <c r="M92" s="6"/>
      <c r="N92" s="6"/>
      <c r="O92" s="6"/>
    </row>
    <row r="93" spans="1:16" ht="190.5" customHeight="1">
      <c r="A93" s="5"/>
      <c r="B93" s="4" t="s">
        <v>148</v>
      </c>
      <c r="C93" s="3"/>
      <c r="D93" s="3"/>
      <c r="E93" s="5"/>
      <c r="F93" s="4"/>
      <c r="G93" s="4"/>
      <c r="H93" s="6">
        <f t="shared" si="29"/>
        <v>0</v>
      </c>
      <c r="I93" s="6">
        <f t="shared" si="30"/>
        <v>0</v>
      </c>
      <c r="J93" s="6"/>
      <c r="K93" s="6"/>
      <c r="L93" s="6"/>
      <c r="M93" s="6"/>
      <c r="N93" s="6"/>
      <c r="O93" s="6"/>
    </row>
    <row r="94" spans="1:16" ht="15.75">
      <c r="A94" s="29"/>
      <c r="F94"/>
      <c r="G94"/>
    </row>
    <row r="95" spans="1:16" ht="15.75">
      <c r="A95" s="30" t="s">
        <v>159</v>
      </c>
      <c r="D95" s="44" t="s">
        <v>154</v>
      </c>
      <c r="E95" s="44"/>
      <c r="F95" s="32" t="s">
        <v>160</v>
      </c>
      <c r="G95" s="32"/>
    </row>
    <row r="96" spans="1:16" ht="15.75">
      <c r="A96" s="29"/>
      <c r="F96" s="32"/>
      <c r="G96" s="32"/>
    </row>
    <row r="97" spans="1:7" ht="15.75">
      <c r="A97" s="30" t="s">
        <v>149</v>
      </c>
      <c r="D97" s="44" t="s">
        <v>154</v>
      </c>
      <c r="E97" s="44"/>
      <c r="F97" s="32" t="s">
        <v>155</v>
      </c>
      <c r="G97" s="32"/>
    </row>
    <row r="98" spans="1:7" ht="15.75">
      <c r="A98" s="29"/>
      <c r="F98"/>
      <c r="G98"/>
    </row>
    <row r="99" spans="1:7" ht="15.75">
      <c r="A99" s="29" t="s">
        <v>150</v>
      </c>
      <c r="F99"/>
      <c r="G99"/>
    </row>
    <row r="100" spans="1:7" ht="0.75" customHeight="1">
      <c r="A100" s="29"/>
      <c r="F100"/>
      <c r="G100"/>
    </row>
    <row r="101" spans="1:7" ht="15.75">
      <c r="A101" s="29" t="s">
        <v>156</v>
      </c>
      <c r="C101" s="45" t="s">
        <v>157</v>
      </c>
      <c r="D101" s="45"/>
      <c r="E101" s="45"/>
      <c r="F101"/>
      <c r="G101"/>
    </row>
    <row r="102" spans="1:7" ht="15.75">
      <c r="A102" s="29" t="s">
        <v>158</v>
      </c>
      <c r="F102"/>
      <c r="G102"/>
    </row>
    <row r="103" spans="1:7" ht="15.75">
      <c r="A103" s="29" t="s">
        <v>205</v>
      </c>
      <c r="F103"/>
      <c r="G103"/>
    </row>
  </sheetData>
  <mergeCells count="16">
    <mergeCell ref="C101:E101"/>
    <mergeCell ref="B2:I2"/>
    <mergeCell ref="A4:A9"/>
    <mergeCell ref="B4:B9"/>
    <mergeCell ref="C4:C9"/>
    <mergeCell ref="D4:D9"/>
    <mergeCell ref="E4:E9"/>
    <mergeCell ref="F4:F9"/>
    <mergeCell ref="G4:G9"/>
    <mergeCell ref="H4:H9"/>
    <mergeCell ref="I4:O4"/>
    <mergeCell ref="I5:M6"/>
    <mergeCell ref="I7:I9"/>
    <mergeCell ref="J7:M7"/>
    <mergeCell ref="D95:E95"/>
    <mergeCell ref="D97:E97"/>
  </mergeCells>
  <pageMargins left="0.98425196850393704" right="0" top="0.78740157480314965" bottom="0" header="0.19685039370078741" footer="0.31496062992125984"/>
  <pageSetup paperSize="9" scale="42" fitToWidth="2" fitToHeight="2" orientation="portrait" r:id="rId1"/>
  <rowBreaks count="2" manualBreakCount="2">
    <brk id="39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новопокровская первонач</vt:lpstr>
      <vt:lpstr>новопокровская 1 кв</vt:lpstr>
      <vt:lpstr>новопокровская2 кв </vt:lpstr>
      <vt:lpstr>новопокровская3 кв</vt:lpstr>
      <vt:lpstr>'новопокровская 1 кв'!Область_печати</vt:lpstr>
      <vt:lpstr>'новопокровская первонач'!Область_печати</vt:lpstr>
      <vt:lpstr>'новопокровская2 кв '!Область_печати</vt:lpstr>
      <vt:lpstr>'новопокровская3 кв'!Область_печати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2015-10-12T04:31:41Z</dcterms:modified>
</cp:coreProperties>
</file>